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uq-my.sharepoint.com/personal/uqczisch_uq_edu_au/Documents/Cyber/Mark files/August 2024/"/>
    </mc:Choice>
  </mc:AlternateContent>
  <xr:revisionPtr revIDLastSave="0" documentId="8_{75B7878C-E7D2-42FF-84CD-D85973402EDE}" xr6:coauthVersionLast="47" xr6:coauthVersionMax="47" xr10:uidLastSave="{00000000-0000-0000-0000-000000000000}"/>
  <bookViews>
    <workbookView xWindow="22932" yWindow="-3576" windowWidth="23256" windowHeight="13896" tabRatio="642" xr2:uid="{00000000-000D-0000-FFFF-FFFF00000000}"/>
  </bookViews>
  <sheets>
    <sheet name="Instructions" sheetId="19" r:id="rId1"/>
    <sheet name="Application Information" sheetId="20" r:id="rId2"/>
    <sheet name="General Controls" sheetId="6" r:id="rId3"/>
    <sheet name="General Risks" sheetId="17" r:id="rId4"/>
    <sheet name="Additional risks" sheetId="10" r:id="rId5"/>
    <sheet name="Application Risk Rating" sheetId="13" state="hidden" r:id="rId6"/>
    <sheet name="Risk Remediation Plan" sheetId="18" r:id="rId7"/>
    <sheet name="Risk Matrix" sheetId="11" r:id="rId8"/>
    <sheet name="Missing Control Risks" sheetId="9" state="hidden" r:id="rId9"/>
    <sheet name="Required Controls" sheetId="7" r:id="rId10"/>
    <sheet name="Parameters" sheetId="14" state="hidden" r:id="rId11"/>
    <sheet name="Compenstory Controls" sheetId="15" state="hidden" r:id="rId12"/>
    <sheet name="Application Tier" sheetId="21" state="hidden" r:id="rId13"/>
    <sheet name="Control History" sheetId="22" state="hidden" r:id="rId14"/>
    <sheet name="Meta Data" sheetId="12" r:id="rId15"/>
  </sheets>
  <definedNames>
    <definedName name="_xlnm._FilterDatabase" localSheetId="13" hidden="1">'Control History'!$A$1:$O$79</definedName>
    <definedName name="_xlnm._FilterDatabase" localSheetId="2" hidden="1">'General Controls'!$A$2:$K$81</definedName>
    <definedName name="_xlnm._FilterDatabase" localSheetId="8" hidden="1">'Missing Control Risks'!$A$1:$R$87</definedName>
    <definedName name="_xlnm._FilterDatabase" localSheetId="9" hidden="1">'Required Controls'!$A$2:$U$109</definedName>
    <definedName name="Application_Risk_Rating">'Application Risk Rating'!$B$2:$B$78</definedName>
    <definedName name="ApplicationTier">'Application Information'!$C$33</definedName>
    <definedName name="ARR">'Application Information'!#REF!</definedName>
    <definedName name="AssessedControls">'General Controls'!$B$2:$J$81</definedName>
    <definedName name="Availability">'Application Information'!$C$32</definedName>
    <definedName name="AvailabilityImpactRating">'Application Information'!$C$13</definedName>
    <definedName name="AvailabilityImpactScore">'Application Risk Rating'!$J$4</definedName>
    <definedName name="AvailabilityRatings">Parameters!$G$2:$G$3</definedName>
    <definedName name="ClientType">'Application Information'!$C$22</definedName>
    <definedName name="ClientTypes">Parameters!$O$2:$O$8</definedName>
    <definedName name="Confidentiality">'Application Information'!$C$30</definedName>
    <definedName name="ConfidentialityImpactRating">'Application Information'!$C$11</definedName>
    <definedName name="ConfidentialityImpactScore">'Application Risk Rating'!$J$2</definedName>
    <definedName name="ConfidentialityImpactScores">'Application Risk Rating'!$A$2:$G$6</definedName>
    <definedName name="ConfidentialityRatings">Parameters!$A$2:$A$6</definedName>
    <definedName name="ControlHeader">'General Controls'!$A$2:$K$2</definedName>
    <definedName name="ControlInPlace">'Missing Control Risks'!$N$2:$N$87</definedName>
    <definedName name="ControlName">'General Controls'!$B$2:$B$81</definedName>
    <definedName name="ControlPriority">Parameters!$C$12:$D$27</definedName>
    <definedName name="ControlTable">'General Controls'!$A$2:$K$81</definedName>
    <definedName name="ControlTableID">'General Controls'!$K$2:$K$81</definedName>
    <definedName name="FinancialLossRatings">Parameters!$F$2:$F$4</definedName>
    <definedName name="HasIntegrations">'Application Information'!$C$24</definedName>
    <definedName name="HighestConfidentiality">'Application Information'!$C$9</definedName>
    <definedName name="Hosting">'Application Information'!$C$23</definedName>
    <definedName name="Impact">'Risk Matrix'!$B$23:$F$23</definedName>
    <definedName name="Impact_Risk_Column">'Risk Matrix'!$B$23:$F$24</definedName>
    <definedName name="ImpactRating">Parameters!$K$2:$K$6</definedName>
    <definedName name="ImpactRatings">Parameters!$K$2:$K$5</definedName>
    <definedName name="ImpactScores">'Application Risk Rating'!$B$2:$G$6</definedName>
    <definedName name="ImpactTypeRatings">'Application Risk Rating'!$I$2:$J$7</definedName>
    <definedName name="ImpactTypes">'Application Risk Rating'!$I$2:$I$7</definedName>
    <definedName name="ImplementationCost">Parameters!$Q$2:$Q$5</definedName>
    <definedName name="Integrity">'Application Information'!$C$31</definedName>
    <definedName name="IntegrityImpactRating">'Application Information'!$C$12</definedName>
    <definedName name="IntegrityImpactScore">'Application Risk Rating'!$J$3</definedName>
    <definedName name="IntegrityRating">Parameters!$K$2:$L$6</definedName>
    <definedName name="IntegrityRatings">Parameters!$B$2:$B$4</definedName>
    <definedName name="Likelihood">'Risk Matrix'!$A$25:$A$29</definedName>
    <definedName name="LikelihoodValues">Parameters!$M$2:$M$6</definedName>
    <definedName name="Management">'Application Information'!$C$20</definedName>
    <definedName name="MaxCIImpact">'Application Risk Rating'!$J$6</definedName>
    <definedName name="MaxImpactScore">'Application Risk Rating'!$J$5</definedName>
    <definedName name="MaxImpactScore2RiskRating">'Application Risk Rating'!$G$2:$G$6</definedName>
    <definedName name="MissingConfidentialityControls">'Missing Control Risks'!$B:$M</definedName>
    <definedName name="MissingControlHeader">'Missing Control Risks'!$A$1:$R$1</definedName>
    <definedName name="MissingControlID">'Missing Control Risks'!$L$2:$L$87</definedName>
    <definedName name="MissingControlRisks">'Missing Control Risks'!$A$2:$R$87</definedName>
    <definedName name="MissingRiskID">'Missing Control Risks'!$A$2:$A$87</definedName>
    <definedName name="NumRecords">'Application Information'!$C$10</definedName>
    <definedName name="NumUsers">Parameters!$E$2:$E$4</definedName>
    <definedName name="RecordsRatings">Parameters!$C$2:$C$5</definedName>
    <definedName name="ReputationRatings">Parameters!#REF!</definedName>
    <definedName name="RequiredCompensatoryControls">'Compenstory Controls'!$I:$I</definedName>
    <definedName name="RequiredControls">'Required Controls'!$U:$U</definedName>
    <definedName name="Risk_Rows">'Risk Matrix'!$A$25:$F$29</definedName>
    <definedName name="RiskManaged">'Missing Control Risks'!$B:$N</definedName>
    <definedName name="RiskPriorityRows">'Risk Matrix'!$A$33:$F$37</definedName>
    <definedName name="RiskRatings">Parameters!$J$2:$J$4</definedName>
    <definedName name="RPORatings">Parameters!$H$2:$H$4</definedName>
    <definedName name="RTORatings">Parameters!$I$2:$I$4</definedName>
    <definedName name="Software">'Application Information'!$C$21</definedName>
    <definedName name="SoftwareType">Parameters!$N$2:$N$5</definedName>
    <definedName name="Status">Parameters!$P$2:$P$5</definedName>
    <definedName name="Tier">'Application Information'!#REF!</definedName>
    <definedName name="Tier2ImpactScore">'Application Risk Rating'!#REF!</definedName>
    <definedName name="TierImpactRatings">'Application Risk Rating'!$C$2:$C$6</definedName>
    <definedName name="TierRatings">Parameters!$D$2:$D$5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1" i="9" l="1"/>
  <c r="P81" i="9"/>
  <c r="H81" i="9"/>
  <c r="K81" i="9" s="1"/>
  <c r="O81" i="9" s="1"/>
  <c r="R81" i="9" s="1"/>
  <c r="G81" i="9"/>
  <c r="J81" i="9" s="1"/>
  <c r="E81" i="9" a="1"/>
  <c r="E81" i="9" s="1"/>
  <c r="M2" i="22"/>
  <c r="K79" i="22"/>
  <c r="L79" i="22" s="1"/>
  <c r="K78" i="22"/>
  <c r="L78" i="22" s="1"/>
  <c r="K77" i="22"/>
  <c r="L77" i="22" s="1"/>
  <c r="K76" i="22"/>
  <c r="L76" i="22" s="1"/>
  <c r="K75" i="22"/>
  <c r="L75" i="22" s="1"/>
  <c r="K74" i="22"/>
  <c r="L74" i="22" s="1"/>
  <c r="K73" i="22"/>
  <c r="L73" i="22" s="1"/>
  <c r="K72" i="22"/>
  <c r="L72" i="22" s="1"/>
  <c r="K71" i="22"/>
  <c r="L71" i="22" s="1"/>
  <c r="K70" i="22"/>
  <c r="L70" i="22" s="1"/>
  <c r="K69" i="22"/>
  <c r="L69" i="22" s="1"/>
  <c r="K68" i="22"/>
  <c r="L68" i="22" s="1"/>
  <c r="K67" i="22"/>
  <c r="L67" i="22" s="1"/>
  <c r="K66" i="22"/>
  <c r="L66" i="22" s="1"/>
  <c r="K65" i="22"/>
  <c r="L65" i="22" s="1"/>
  <c r="K64" i="22"/>
  <c r="L64" i="22" s="1"/>
  <c r="K63" i="22"/>
  <c r="L63" i="22" s="1"/>
  <c r="K62" i="22"/>
  <c r="L62" i="22" s="1"/>
  <c r="K61" i="22"/>
  <c r="L61" i="22" s="1"/>
  <c r="K60" i="22"/>
  <c r="L60" i="22" s="1"/>
  <c r="K59" i="22"/>
  <c r="L59" i="22" s="1"/>
  <c r="K58" i="22"/>
  <c r="L58" i="22" s="1"/>
  <c r="K57" i="22"/>
  <c r="L57" i="22" s="1"/>
  <c r="K56" i="22"/>
  <c r="L56" i="22" s="1"/>
  <c r="K55" i="22"/>
  <c r="L55" i="22" s="1"/>
  <c r="K54" i="22"/>
  <c r="L54" i="22" s="1"/>
  <c r="K53" i="22"/>
  <c r="L53" i="22" s="1"/>
  <c r="K52" i="22"/>
  <c r="L52" i="22" s="1"/>
  <c r="K51" i="22"/>
  <c r="L51" i="22" s="1"/>
  <c r="K50" i="22"/>
  <c r="L50" i="22" s="1"/>
  <c r="K49" i="22"/>
  <c r="L49" i="22" s="1"/>
  <c r="K48" i="22"/>
  <c r="L48" i="22" s="1"/>
  <c r="K47" i="22"/>
  <c r="L47" i="22" s="1"/>
  <c r="K46" i="22"/>
  <c r="L46" i="22" s="1"/>
  <c r="K45" i="22"/>
  <c r="L45" i="22" s="1"/>
  <c r="K44" i="22"/>
  <c r="L44" i="22" s="1"/>
  <c r="K43" i="22"/>
  <c r="L43" i="22" s="1"/>
  <c r="K42" i="22"/>
  <c r="L42" i="22" s="1"/>
  <c r="K41" i="22"/>
  <c r="L41" i="22" s="1"/>
  <c r="K40" i="22"/>
  <c r="L40" i="22" s="1"/>
  <c r="K39" i="22"/>
  <c r="L39" i="22" s="1"/>
  <c r="K38" i="22"/>
  <c r="L38" i="22" s="1"/>
  <c r="K37" i="22"/>
  <c r="L37" i="22" s="1"/>
  <c r="K36" i="22"/>
  <c r="L36" i="22" s="1"/>
  <c r="K35" i="22"/>
  <c r="L35" i="22" s="1"/>
  <c r="K34" i="22"/>
  <c r="L34" i="22" s="1"/>
  <c r="K33" i="22"/>
  <c r="L33" i="22" s="1"/>
  <c r="K32" i="22"/>
  <c r="L32" i="22" s="1"/>
  <c r="K31" i="22"/>
  <c r="L31" i="22" s="1"/>
  <c r="K30" i="22"/>
  <c r="L30" i="22" s="1"/>
  <c r="K29" i="22"/>
  <c r="L29" i="22" s="1"/>
  <c r="K28" i="22"/>
  <c r="L28" i="22" s="1"/>
  <c r="K27" i="22"/>
  <c r="L27" i="22" s="1"/>
  <c r="K26" i="22"/>
  <c r="L26" i="22" s="1"/>
  <c r="K25" i="22"/>
  <c r="L25" i="22" s="1"/>
  <c r="K24" i="22"/>
  <c r="L24" i="22" s="1"/>
  <c r="K23" i="22"/>
  <c r="L23" i="22" s="1"/>
  <c r="K22" i="22"/>
  <c r="L22" i="22" s="1"/>
  <c r="K21" i="22"/>
  <c r="L21" i="22" s="1"/>
  <c r="K20" i="22"/>
  <c r="L20" i="22" s="1"/>
  <c r="K19" i="22"/>
  <c r="L19" i="22" s="1"/>
  <c r="K18" i="22"/>
  <c r="L18" i="22" s="1"/>
  <c r="K17" i="22"/>
  <c r="L17" i="22" s="1"/>
  <c r="K16" i="22"/>
  <c r="L16" i="22" s="1"/>
  <c r="K15" i="22"/>
  <c r="L15" i="22" s="1"/>
  <c r="K14" i="22"/>
  <c r="L14" i="22" s="1"/>
  <c r="K13" i="22"/>
  <c r="L13" i="22" s="1"/>
  <c r="K12" i="22"/>
  <c r="L12" i="22" s="1"/>
  <c r="K11" i="22"/>
  <c r="L11" i="22" s="1"/>
  <c r="K10" i="22"/>
  <c r="L10" i="22" s="1"/>
  <c r="K9" i="22"/>
  <c r="L9" i="22" s="1"/>
  <c r="K8" i="22"/>
  <c r="L8" i="22" s="1"/>
  <c r="K7" i="22"/>
  <c r="L7" i="22" s="1"/>
  <c r="K6" i="22"/>
  <c r="L6" i="22" s="1"/>
  <c r="K5" i="22"/>
  <c r="L5" i="22" s="1"/>
  <c r="K4" i="22"/>
  <c r="L4" i="22" s="1"/>
  <c r="K3" i="22"/>
  <c r="L3" i="22" s="1"/>
  <c r="K2" i="22"/>
  <c r="L2" i="22" s="1"/>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J3" i="22"/>
  <c r="J2" i="22"/>
  <c r="N79" i="22"/>
  <c r="N78" i="22"/>
  <c r="N77" i="22"/>
  <c r="N76" i="22"/>
  <c r="N75" i="22"/>
  <c r="N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N9" i="22"/>
  <c r="N8" i="22"/>
  <c r="N7" i="22"/>
  <c r="N6" i="22"/>
  <c r="N5" i="22"/>
  <c r="N4" i="22"/>
  <c r="N3" i="22"/>
  <c r="N2"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M8" i="22"/>
  <c r="M7" i="22"/>
  <c r="M6" i="22"/>
  <c r="M5" i="22"/>
  <c r="M4" i="22"/>
  <c r="M3" i="22"/>
  <c r="Q10" i="9"/>
  <c r="P10" i="9"/>
  <c r="H10" i="9"/>
  <c r="G10" i="9"/>
  <c r="J10" i="9" s="1"/>
  <c r="E10" i="9" a="1"/>
  <c r="E10" i="9" s="1"/>
  <c r="Q50" i="9"/>
  <c r="P50" i="9"/>
  <c r="H50" i="9"/>
  <c r="G50" i="9"/>
  <c r="J50" i="9" s="1"/>
  <c r="E50" i="9" a="1"/>
  <c r="E50" i="9" s="1"/>
  <c r="Q87" i="9"/>
  <c r="P87" i="9"/>
  <c r="H87" i="9"/>
  <c r="G87" i="9"/>
  <c r="J87" i="9" s="1"/>
  <c r="E87" i="9" a="1"/>
  <c r="E87" i="9" s="1"/>
  <c r="Q86" i="9"/>
  <c r="P86" i="9"/>
  <c r="H86" i="9"/>
  <c r="G86" i="9"/>
  <c r="J86" i="9" s="1"/>
  <c r="E86" i="9" a="1"/>
  <c r="E86" i="9" s="1"/>
  <c r="Q12" i="9"/>
  <c r="P12" i="9"/>
  <c r="H12" i="9"/>
  <c r="G12" i="9"/>
  <c r="J12" i="9" s="1"/>
  <c r="E12" i="9" a="1"/>
  <c r="E12" i="9" s="1"/>
  <c r="P85" i="9"/>
  <c r="Q85" i="9"/>
  <c r="E85" i="9" a="1"/>
  <c r="E85" i="9" s="1"/>
  <c r="G85" i="9"/>
  <c r="J85" i="9" s="1"/>
  <c r="H85" i="9"/>
  <c r="H84" i="9"/>
  <c r="G84" i="9"/>
  <c r="J84" i="9" s="1"/>
  <c r="E84" i="9" a="1"/>
  <c r="E84" i="9" s="1"/>
  <c r="P84" i="9"/>
  <c r="Q84" i="9"/>
  <c r="P82" i="9"/>
  <c r="Q82" i="9"/>
  <c r="P83" i="9"/>
  <c r="Q83" i="9"/>
  <c r="H83" i="9"/>
  <c r="G83" i="9"/>
  <c r="J83" i="9" s="1"/>
  <c r="E83" i="9" a="1"/>
  <c r="E83" i="9" s="1"/>
  <c r="H82" i="9"/>
  <c r="G82" i="9"/>
  <c r="J82" i="9" s="1"/>
  <c r="E82" i="9" a="1"/>
  <c r="E82" i="9" s="1"/>
  <c r="I81" i="9" l="1"/>
  <c r="O8" i="22"/>
  <c r="O32" i="22"/>
  <c r="O9" i="22"/>
  <c r="O21" i="22"/>
  <c r="O33" i="22"/>
  <c r="O57" i="22"/>
  <c r="O44" i="22"/>
  <c r="O56" i="22"/>
  <c r="O68" i="22"/>
  <c r="O10" i="22"/>
  <c r="O34" i="22"/>
  <c r="O58" i="22"/>
  <c r="O11" i="22"/>
  <c r="O35" i="22"/>
  <c r="O59" i="22"/>
  <c r="O12" i="22"/>
  <c r="O36" i="22"/>
  <c r="O60" i="22"/>
  <c r="O13" i="22"/>
  <c r="O37" i="22"/>
  <c r="O61" i="22"/>
  <c r="O19" i="22"/>
  <c r="O20" i="22"/>
  <c r="O45" i="22"/>
  <c r="O69" i="22"/>
  <c r="O46" i="22"/>
  <c r="O47" i="22"/>
  <c r="O23" i="22"/>
  <c r="O48" i="22"/>
  <c r="O72" i="22"/>
  <c r="O70" i="22"/>
  <c r="O22" i="22"/>
  <c r="O71" i="22"/>
  <c r="O7" i="22"/>
  <c r="O24" i="22"/>
  <c r="O49" i="22"/>
  <c r="O73" i="22"/>
  <c r="O26" i="22"/>
  <c r="O38" i="22"/>
  <c r="O50" i="22"/>
  <c r="O62" i="22"/>
  <c r="O74" i="22"/>
  <c r="O2" i="22"/>
  <c r="O14" i="22"/>
  <c r="O27" i="22"/>
  <c r="O39" i="22"/>
  <c r="O51" i="22"/>
  <c r="O63" i="22"/>
  <c r="O75" i="22"/>
  <c r="O64" i="22"/>
  <c r="O4" i="22"/>
  <c r="O16" i="22"/>
  <c r="O29" i="22"/>
  <c r="O41" i="22"/>
  <c r="O53" i="22"/>
  <c r="O65" i="22"/>
  <c r="O77" i="22"/>
  <c r="O3" i="22"/>
  <c r="O15" i="22"/>
  <c r="O28" i="22"/>
  <c r="O40" i="22"/>
  <c r="O52" i="22"/>
  <c r="O76" i="22"/>
  <c r="O5" i="22"/>
  <c r="O17" i="22"/>
  <c r="O30" i="22"/>
  <c r="O42" i="22"/>
  <c r="O54" i="22"/>
  <c r="O66" i="22"/>
  <c r="O78" i="22"/>
  <c r="O6" i="22"/>
  <c r="O18" i="22"/>
  <c r="O31" i="22"/>
  <c r="O43" i="22"/>
  <c r="O55" i="22"/>
  <c r="O67" i="22"/>
  <c r="O79" i="22"/>
  <c r="O25" i="22"/>
  <c r="R4" i="22"/>
  <c r="R3" i="22"/>
  <c r="R5" i="22"/>
  <c r="R2" i="22"/>
  <c r="R6" i="22"/>
  <c r="K86" i="9"/>
  <c r="O86" i="9" s="1"/>
  <c r="R86" i="9" s="1"/>
  <c r="K10" i="9"/>
  <c r="O10" i="9" s="1"/>
  <c r="R10" i="9" s="1"/>
  <c r="K87" i="9"/>
  <c r="O87" i="9" s="1"/>
  <c r="R87" i="9" s="1"/>
  <c r="K50" i="9"/>
  <c r="O50" i="9" s="1"/>
  <c r="R50" i="9" s="1"/>
  <c r="I10" i="9"/>
  <c r="I50" i="9"/>
  <c r="K12" i="9"/>
  <c r="O12" i="9" s="1"/>
  <c r="R12" i="9" s="1"/>
  <c r="K82" i="9"/>
  <c r="O82" i="9" s="1"/>
  <c r="R82" i="9" s="1"/>
  <c r="I87" i="9"/>
  <c r="I86" i="9"/>
  <c r="I12" i="9"/>
  <c r="K83" i="9"/>
  <c r="O83" i="9" s="1"/>
  <c r="R83" i="9" s="1"/>
  <c r="K84" i="9"/>
  <c r="O84" i="9" s="1"/>
  <c r="R84" i="9" s="1"/>
  <c r="K85" i="9"/>
  <c r="O85" i="9" s="1"/>
  <c r="R85" i="9" s="1"/>
  <c r="I85" i="9"/>
  <c r="I84" i="9"/>
  <c r="I83" i="9"/>
  <c r="I82" i="9"/>
  <c r="R7" i="22" l="1"/>
  <c r="R106" i="7"/>
  <c r="P106" i="7"/>
  <c r="N106" i="7"/>
  <c r="L106" i="7"/>
  <c r="J106" i="7"/>
  <c r="H106" i="7"/>
  <c r="F106" i="7"/>
  <c r="D106" i="7" a="1"/>
  <c r="D106" i="7" s="1"/>
  <c r="B106" i="7"/>
  <c r="R105" i="7"/>
  <c r="P105" i="7"/>
  <c r="N105" i="7"/>
  <c r="L105" i="7"/>
  <c r="J105" i="7"/>
  <c r="H105" i="7"/>
  <c r="F105" i="7"/>
  <c r="D105" i="7" a="1"/>
  <c r="D105" i="7" s="1"/>
  <c r="B105" i="7"/>
  <c r="R80" i="7"/>
  <c r="P80" i="7"/>
  <c r="N80" i="7"/>
  <c r="L80" i="7"/>
  <c r="J80" i="7"/>
  <c r="H80" i="7"/>
  <c r="F80" i="7"/>
  <c r="D80" i="7" a="1"/>
  <c r="D80" i="7" s="1"/>
  <c r="B80" i="7"/>
  <c r="R79" i="7"/>
  <c r="P79" i="7"/>
  <c r="N79" i="7"/>
  <c r="L79" i="7"/>
  <c r="J79" i="7"/>
  <c r="H79" i="7"/>
  <c r="F79" i="7"/>
  <c r="D79" i="7" a="1"/>
  <c r="D79" i="7" s="1"/>
  <c r="B79" i="7"/>
  <c r="R78" i="7"/>
  <c r="P78" i="7"/>
  <c r="N78" i="7"/>
  <c r="L78" i="7"/>
  <c r="J78" i="7"/>
  <c r="H78" i="7"/>
  <c r="F78" i="7"/>
  <c r="D78" i="7" a="1"/>
  <c r="D78" i="7" s="1"/>
  <c r="B78" i="7"/>
  <c r="R91" i="7"/>
  <c r="P91" i="7"/>
  <c r="N91" i="7"/>
  <c r="L91" i="7"/>
  <c r="J91" i="7"/>
  <c r="H91" i="7"/>
  <c r="F91" i="7"/>
  <c r="D91" i="7" a="1"/>
  <c r="D91" i="7" s="1"/>
  <c r="B91" i="7"/>
  <c r="R17" i="7"/>
  <c r="P17" i="7"/>
  <c r="N17" i="7"/>
  <c r="L17" i="7"/>
  <c r="J17" i="7"/>
  <c r="H17" i="7"/>
  <c r="F17" i="7"/>
  <c r="D17" i="7" a="1"/>
  <c r="D17" i="7" s="1"/>
  <c r="B17" i="7"/>
  <c r="R93" i="7"/>
  <c r="P93" i="7"/>
  <c r="N93" i="7"/>
  <c r="L93" i="7"/>
  <c r="J93" i="7"/>
  <c r="H93" i="7"/>
  <c r="F93" i="7"/>
  <c r="D93" i="7" a="1"/>
  <c r="D93" i="7" s="1"/>
  <c r="B93" i="7"/>
  <c r="R92" i="7"/>
  <c r="P92" i="7"/>
  <c r="N92" i="7"/>
  <c r="L92" i="7"/>
  <c r="J92" i="7"/>
  <c r="H92" i="7"/>
  <c r="F92" i="7"/>
  <c r="D92" i="7" a="1"/>
  <c r="D92" i="7" s="1"/>
  <c r="B92" i="7"/>
  <c r="R90" i="7"/>
  <c r="P90" i="7"/>
  <c r="N90" i="7"/>
  <c r="L90" i="7"/>
  <c r="J90" i="7"/>
  <c r="H90" i="7"/>
  <c r="F90" i="7"/>
  <c r="D90" i="7" a="1"/>
  <c r="D90" i="7" s="1"/>
  <c r="B90" i="7"/>
  <c r="Q80" i="9"/>
  <c r="P80" i="9"/>
  <c r="Q79" i="9"/>
  <c r="P79" i="9"/>
  <c r="Q78" i="9"/>
  <c r="P78" i="9"/>
  <c r="Q77" i="9"/>
  <c r="P77" i="9"/>
  <c r="Q76" i="9"/>
  <c r="P76" i="9"/>
  <c r="Q75" i="9"/>
  <c r="P75" i="9"/>
  <c r="Q74" i="9"/>
  <c r="P74" i="9"/>
  <c r="Q73" i="9"/>
  <c r="P73" i="9"/>
  <c r="Q72" i="9"/>
  <c r="P72" i="9"/>
  <c r="Q71" i="9"/>
  <c r="P71" i="9"/>
  <c r="Q70" i="9"/>
  <c r="P70" i="9"/>
  <c r="Q69" i="9"/>
  <c r="P69" i="9"/>
  <c r="Q68" i="9"/>
  <c r="P68" i="9"/>
  <c r="Q67" i="9"/>
  <c r="P67" i="9"/>
  <c r="Q66" i="9"/>
  <c r="P66" i="9"/>
  <c r="Q65" i="9"/>
  <c r="P65" i="9"/>
  <c r="Q64" i="9"/>
  <c r="P64" i="9"/>
  <c r="Q63" i="9"/>
  <c r="P63" i="9"/>
  <c r="Q62" i="9"/>
  <c r="P62" i="9"/>
  <c r="Q61" i="9"/>
  <c r="P61" i="9"/>
  <c r="Q60" i="9"/>
  <c r="P60" i="9"/>
  <c r="Q59" i="9"/>
  <c r="P59" i="9"/>
  <c r="Q58" i="9"/>
  <c r="P58" i="9"/>
  <c r="Q57" i="9"/>
  <c r="P57" i="9"/>
  <c r="Q56" i="9"/>
  <c r="P56" i="9"/>
  <c r="Q55" i="9"/>
  <c r="P55" i="9"/>
  <c r="Q54" i="9"/>
  <c r="P54" i="9"/>
  <c r="Q53" i="9"/>
  <c r="P53" i="9"/>
  <c r="Q52" i="9"/>
  <c r="P52" i="9"/>
  <c r="Q51" i="9"/>
  <c r="P51" i="9"/>
  <c r="Q49" i="9"/>
  <c r="P49" i="9"/>
  <c r="Q48" i="9"/>
  <c r="P48" i="9"/>
  <c r="Q47" i="9"/>
  <c r="P47" i="9"/>
  <c r="Q46" i="9"/>
  <c r="P46" i="9"/>
  <c r="Q45" i="9"/>
  <c r="P45" i="9"/>
  <c r="Q44" i="9"/>
  <c r="P44" i="9"/>
  <c r="Q43" i="9"/>
  <c r="P43" i="9"/>
  <c r="Q42" i="9"/>
  <c r="P42" i="9"/>
  <c r="Q41" i="9"/>
  <c r="P41" i="9"/>
  <c r="Q40" i="9"/>
  <c r="P40" i="9"/>
  <c r="Q39" i="9"/>
  <c r="P39" i="9"/>
  <c r="Q38" i="9"/>
  <c r="P38" i="9"/>
  <c r="Q37" i="9"/>
  <c r="P37" i="9"/>
  <c r="Q36" i="9"/>
  <c r="P36" i="9"/>
  <c r="Q35" i="9"/>
  <c r="P35" i="9"/>
  <c r="Q34" i="9"/>
  <c r="P34" i="9"/>
  <c r="Q33" i="9"/>
  <c r="P33" i="9"/>
  <c r="Q32" i="9"/>
  <c r="P32" i="9"/>
  <c r="Q31" i="9"/>
  <c r="P31" i="9"/>
  <c r="Q30" i="9"/>
  <c r="P30"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P15" i="9"/>
  <c r="Q14" i="9"/>
  <c r="P14" i="9"/>
  <c r="Q13" i="9"/>
  <c r="P13" i="9"/>
  <c r="Q11" i="9"/>
  <c r="P11" i="9"/>
  <c r="Q9" i="9"/>
  <c r="P9" i="9"/>
  <c r="Q8" i="9"/>
  <c r="P8" i="9"/>
  <c r="Q7" i="9"/>
  <c r="P7" i="9"/>
  <c r="Q6" i="9"/>
  <c r="P6" i="9"/>
  <c r="Q5" i="9"/>
  <c r="P5" i="9"/>
  <c r="Q4" i="9"/>
  <c r="P4" i="9"/>
  <c r="Q3" i="9"/>
  <c r="P3" i="9"/>
  <c r="Q2" i="9"/>
  <c r="P2" i="9"/>
  <c r="H2" i="9"/>
  <c r="I2" i="9" s="1"/>
  <c r="I5" i="10"/>
  <c r="I6" i="10"/>
  <c r="I7" i="10"/>
  <c r="I8" i="10"/>
  <c r="I9" i="10"/>
  <c r="I10" i="10"/>
  <c r="I11" i="10"/>
  <c r="I12" i="10"/>
  <c r="I13" i="10"/>
  <c r="I14" i="10"/>
  <c r="I15" i="10"/>
  <c r="I16" i="10"/>
  <c r="I17" i="10"/>
  <c r="I18" i="10"/>
  <c r="I19" i="10"/>
  <c r="I20" i="10"/>
  <c r="I4" i="10"/>
  <c r="E5" i="10"/>
  <c r="K5" i="10" s="1"/>
  <c r="E6" i="10"/>
  <c r="K6" i="10" s="1"/>
  <c r="E7" i="10"/>
  <c r="K7" i="10" s="1"/>
  <c r="E8" i="10"/>
  <c r="K8" i="10" s="1"/>
  <c r="E9" i="10"/>
  <c r="K9" i="10" s="1"/>
  <c r="E10" i="10"/>
  <c r="K10" i="10" s="1"/>
  <c r="E11" i="10"/>
  <c r="K11" i="10" s="1"/>
  <c r="E12" i="10"/>
  <c r="K12" i="10" s="1"/>
  <c r="E13" i="10"/>
  <c r="K13" i="10" s="1"/>
  <c r="E14" i="10"/>
  <c r="K14" i="10" s="1"/>
  <c r="E15" i="10"/>
  <c r="K15" i="10" s="1"/>
  <c r="E16" i="10"/>
  <c r="K16" i="10" s="1"/>
  <c r="E17" i="10"/>
  <c r="K17" i="10" s="1"/>
  <c r="E18" i="10"/>
  <c r="K18" i="10" s="1"/>
  <c r="E19" i="10"/>
  <c r="K19" i="10" s="1"/>
  <c r="E20" i="10"/>
  <c r="K20" i="10" s="1"/>
  <c r="E4" i="10"/>
  <c r="K4" i="10" s="1"/>
  <c r="C30" i="20"/>
  <c r="C11" i="20" s="1"/>
  <c r="J2" i="13" s="1"/>
  <c r="T106" i="7" l="1"/>
  <c r="U106" i="7" s="1"/>
  <c r="T105" i="7"/>
  <c r="U105" i="7" s="1"/>
  <c r="T80" i="7"/>
  <c r="U80" i="7" s="1"/>
  <c r="T79" i="7"/>
  <c r="U79" i="7" s="1"/>
  <c r="T78" i="7"/>
  <c r="U78" i="7" s="1"/>
  <c r="T91" i="7"/>
  <c r="U91" i="7" s="1"/>
  <c r="T17" i="7"/>
  <c r="U17" i="7" s="1"/>
  <c r="T93" i="7"/>
  <c r="U93" i="7" s="1"/>
  <c r="T92" i="7"/>
  <c r="U92" i="7" s="1"/>
  <c r="T90" i="7"/>
  <c r="U90" i="7" s="1"/>
  <c r="H19" i="9"/>
  <c r="I19" i="9" s="1"/>
  <c r="E19" i="9" a="1"/>
  <c r="E19" i="9" s="1"/>
  <c r="H18" i="9"/>
  <c r="I18" i="9" s="1"/>
  <c r="E18" i="9" a="1"/>
  <c r="E18" i="9" s="1"/>
  <c r="R41" i="7"/>
  <c r="P41" i="7"/>
  <c r="N41" i="7"/>
  <c r="J41" i="7"/>
  <c r="H41" i="7"/>
  <c r="F41" i="7"/>
  <c r="D41" i="7" a="1"/>
  <c r="D41" i="7" s="1"/>
  <c r="B41" i="7"/>
  <c r="R40" i="7"/>
  <c r="P40" i="7"/>
  <c r="N40" i="7"/>
  <c r="J40" i="7"/>
  <c r="H40" i="7"/>
  <c r="F40" i="7"/>
  <c r="D40" i="7" a="1"/>
  <c r="D40" i="7" s="1"/>
  <c r="B40" i="7"/>
  <c r="R28" i="7"/>
  <c r="P28" i="7"/>
  <c r="N28" i="7"/>
  <c r="J28" i="7"/>
  <c r="H28" i="7"/>
  <c r="F28" i="7"/>
  <c r="D28" i="7" a="1"/>
  <c r="D28" i="7" s="1"/>
  <c r="B28" i="7"/>
  <c r="C32" i="20"/>
  <c r="C31" i="20"/>
  <c r="P30" i="7" s="1"/>
  <c r="R52" i="7"/>
  <c r="P52" i="7"/>
  <c r="N52" i="7"/>
  <c r="L52" i="7"/>
  <c r="J52" i="7"/>
  <c r="H52" i="7"/>
  <c r="F52" i="7"/>
  <c r="D52" i="7" a="1"/>
  <c r="D52" i="7" s="1"/>
  <c r="B52" i="7"/>
  <c r="R104" i="7"/>
  <c r="P104" i="7"/>
  <c r="N104" i="7"/>
  <c r="J104" i="7"/>
  <c r="H104" i="7"/>
  <c r="F104" i="7"/>
  <c r="D104" i="7" a="1"/>
  <c r="D104" i="7" s="1"/>
  <c r="B104" i="7"/>
  <c r="R99" i="7"/>
  <c r="P99" i="7"/>
  <c r="N99" i="7"/>
  <c r="J99" i="7"/>
  <c r="H99" i="7"/>
  <c r="F99" i="7"/>
  <c r="D99" i="7" a="1"/>
  <c r="D99" i="7" s="1"/>
  <c r="B99" i="7"/>
  <c r="R58" i="7"/>
  <c r="P58" i="7"/>
  <c r="N58" i="7"/>
  <c r="J58" i="7"/>
  <c r="H58" i="7"/>
  <c r="F58" i="7"/>
  <c r="D58" i="7" a="1"/>
  <c r="D58" i="7" s="1"/>
  <c r="B58" i="7"/>
  <c r="R61" i="7"/>
  <c r="P61" i="7"/>
  <c r="N61" i="7"/>
  <c r="J61" i="7"/>
  <c r="H61" i="7"/>
  <c r="F61" i="7"/>
  <c r="D61" i="7" a="1"/>
  <c r="D61" i="7" s="1"/>
  <c r="B61" i="7"/>
  <c r="R60" i="7"/>
  <c r="P60" i="7"/>
  <c r="N60" i="7"/>
  <c r="J60" i="7"/>
  <c r="H60" i="7"/>
  <c r="F60" i="7"/>
  <c r="D60" i="7" a="1"/>
  <c r="D60" i="7" s="1"/>
  <c r="B60" i="7"/>
  <c r="R59" i="7"/>
  <c r="P59" i="7"/>
  <c r="N59" i="7"/>
  <c r="J59" i="7"/>
  <c r="H59" i="7"/>
  <c r="F59" i="7"/>
  <c r="D59" i="7" a="1"/>
  <c r="D59" i="7" s="1"/>
  <c r="B59" i="7"/>
  <c r="B57" i="7"/>
  <c r="D57" i="7" a="1"/>
  <c r="D57" i="7" s="1"/>
  <c r="F57" i="7"/>
  <c r="H57" i="7"/>
  <c r="J57" i="7"/>
  <c r="N57" i="7"/>
  <c r="P57" i="7"/>
  <c r="R57" i="7"/>
  <c r="B62" i="7"/>
  <c r="D62" i="7" a="1"/>
  <c r="D62" i="7" s="1"/>
  <c r="F62" i="7"/>
  <c r="H62" i="7"/>
  <c r="J62" i="7"/>
  <c r="N62" i="7"/>
  <c r="P62" i="7"/>
  <c r="R62" i="7"/>
  <c r="R27" i="7"/>
  <c r="P27" i="7"/>
  <c r="N27" i="7"/>
  <c r="J27" i="7"/>
  <c r="H27" i="7"/>
  <c r="F27" i="7"/>
  <c r="D27" i="7" a="1"/>
  <c r="D27" i="7" s="1"/>
  <c r="B27" i="7"/>
  <c r="R4" i="7"/>
  <c r="R5" i="7"/>
  <c r="R6" i="7"/>
  <c r="R7" i="7"/>
  <c r="R8" i="7"/>
  <c r="R9" i="7"/>
  <c r="R10" i="7"/>
  <c r="R11" i="7"/>
  <c r="R12" i="7"/>
  <c r="R13" i="7"/>
  <c r="R14" i="7"/>
  <c r="R15" i="7"/>
  <c r="R16" i="7"/>
  <c r="R18" i="7"/>
  <c r="R19" i="7"/>
  <c r="R20" i="7"/>
  <c r="R21" i="7"/>
  <c r="R22" i="7"/>
  <c r="R23" i="7"/>
  <c r="R24" i="7"/>
  <c r="R25" i="7"/>
  <c r="R26" i="7"/>
  <c r="R29" i="7"/>
  <c r="R30" i="7"/>
  <c r="R31" i="7"/>
  <c r="R32" i="7"/>
  <c r="R35" i="7"/>
  <c r="R42" i="7"/>
  <c r="R43" i="7"/>
  <c r="R44" i="7"/>
  <c r="R45" i="7"/>
  <c r="R46" i="7"/>
  <c r="R47" i="7"/>
  <c r="R48" i="7"/>
  <c r="R49" i="7"/>
  <c r="R50" i="7"/>
  <c r="R51" i="7"/>
  <c r="R53" i="7"/>
  <c r="R54" i="7"/>
  <c r="R55" i="7"/>
  <c r="R56" i="7"/>
  <c r="R63" i="7"/>
  <c r="R64" i="7"/>
  <c r="R65" i="7"/>
  <c r="R69" i="7"/>
  <c r="R70" i="7"/>
  <c r="R71" i="7"/>
  <c r="R72" i="7"/>
  <c r="R76" i="7"/>
  <c r="R77" i="7"/>
  <c r="R94" i="7"/>
  <c r="R95" i="7"/>
  <c r="R96" i="7"/>
  <c r="R97" i="7"/>
  <c r="R98" i="7"/>
  <c r="R100" i="7"/>
  <c r="R101" i="7"/>
  <c r="R102" i="7"/>
  <c r="R103" i="7"/>
  <c r="R107" i="7"/>
  <c r="R108" i="7"/>
  <c r="R109" i="7"/>
  <c r="R3" i="7"/>
  <c r="N32" i="7"/>
  <c r="L32" i="7"/>
  <c r="J32" i="7"/>
  <c r="H32" i="7"/>
  <c r="F32" i="7"/>
  <c r="D32" i="7" a="1"/>
  <c r="D32" i="7" s="1"/>
  <c r="B32" i="7"/>
  <c r="N30" i="7"/>
  <c r="L30" i="7"/>
  <c r="J30" i="7"/>
  <c r="H30" i="7"/>
  <c r="F30" i="7"/>
  <c r="D30" i="7" a="1"/>
  <c r="D30" i="7" s="1"/>
  <c r="B30" i="7"/>
  <c r="P21" i="7"/>
  <c r="N21" i="7"/>
  <c r="J21" i="7"/>
  <c r="H21" i="7"/>
  <c r="F21" i="7"/>
  <c r="D21" i="7" a="1"/>
  <c r="D21" i="7" s="1"/>
  <c r="B21" i="7"/>
  <c r="L4" i="7"/>
  <c r="L5" i="7"/>
  <c r="L6" i="7"/>
  <c r="L7" i="7"/>
  <c r="L8" i="7"/>
  <c r="L9" i="7"/>
  <c r="L10" i="7"/>
  <c r="L11" i="7"/>
  <c r="L12" i="7"/>
  <c r="L13" i="7"/>
  <c r="L14" i="7"/>
  <c r="L15" i="7"/>
  <c r="L16" i="7"/>
  <c r="L22" i="7"/>
  <c r="L23" i="7"/>
  <c r="L24" i="7"/>
  <c r="L25" i="7"/>
  <c r="L29" i="7"/>
  <c r="L31" i="7"/>
  <c r="L33" i="7"/>
  <c r="L34" i="7"/>
  <c r="L35" i="7"/>
  <c r="L36" i="7"/>
  <c r="L37" i="7"/>
  <c r="L38" i="7"/>
  <c r="L39" i="7"/>
  <c r="L42" i="7"/>
  <c r="L43" i="7"/>
  <c r="L44" i="7"/>
  <c r="L45" i="7"/>
  <c r="L46" i="7"/>
  <c r="L47" i="7"/>
  <c r="L48" i="7"/>
  <c r="L49" i="7"/>
  <c r="L50" i="7"/>
  <c r="L51" i="7"/>
  <c r="L63" i="7"/>
  <c r="L64" i="7"/>
  <c r="L65" i="7"/>
  <c r="L66" i="7"/>
  <c r="L67" i="7"/>
  <c r="L68" i="7"/>
  <c r="L73" i="7"/>
  <c r="L74" i="7"/>
  <c r="L75" i="7"/>
  <c r="L76" i="7"/>
  <c r="L77" i="7"/>
  <c r="L81" i="7"/>
  <c r="L82" i="7"/>
  <c r="L83" i="7"/>
  <c r="L84" i="7"/>
  <c r="L85" i="7"/>
  <c r="L86" i="7"/>
  <c r="L87" i="7"/>
  <c r="L88" i="7"/>
  <c r="L89" i="7"/>
  <c r="L94" i="7"/>
  <c r="L95" i="7"/>
  <c r="L100" i="7"/>
  <c r="L101" i="7"/>
  <c r="L107" i="7"/>
  <c r="L108" i="7"/>
  <c r="L109" i="7"/>
  <c r="L3" i="7"/>
  <c r="F10" i="15"/>
  <c r="F9" i="15"/>
  <c r="F8" i="15"/>
  <c r="D8" i="15"/>
  <c r="D9" i="15"/>
  <c r="D10" i="15"/>
  <c r="F2" i="15"/>
  <c r="D2" i="15"/>
  <c r="B2" i="15"/>
  <c r="J3" i="13"/>
  <c r="T52" i="7" l="1"/>
  <c r="U52" i="7" s="1"/>
  <c r="P32" i="7"/>
  <c r="T32" i="7" s="1"/>
  <c r="U32" i="7" s="1"/>
  <c r="T30" i="7"/>
  <c r="U30" i="7" s="1"/>
  <c r="H2" i="15"/>
  <c r="I2" i="15" s="1"/>
  <c r="F6" i="15" l="1"/>
  <c r="D6" i="15"/>
  <c r="C13" i="14"/>
  <c r="C14" i="14"/>
  <c r="C15" i="14"/>
  <c r="C16" i="14"/>
  <c r="C17" i="14"/>
  <c r="C18" i="14"/>
  <c r="C19" i="14"/>
  <c r="C20" i="14"/>
  <c r="C21" i="14"/>
  <c r="C22" i="14"/>
  <c r="C23" i="14"/>
  <c r="C24" i="14"/>
  <c r="C25" i="14"/>
  <c r="C26" i="14"/>
  <c r="C27" i="14"/>
  <c r="C12" i="14"/>
  <c r="G27" i="9"/>
  <c r="J27" i="9" s="1"/>
  <c r="G28" i="9"/>
  <c r="J28" i="9" s="1"/>
  <c r="G29" i="9"/>
  <c r="J29" i="9" s="1"/>
  <c r="G30" i="9"/>
  <c r="J30" i="9" s="1"/>
  <c r="H56" i="9"/>
  <c r="I56" i="9" s="1"/>
  <c r="E56" i="9" a="1"/>
  <c r="E56" i="9" s="1"/>
  <c r="P8" i="7"/>
  <c r="N8" i="7"/>
  <c r="J8" i="7"/>
  <c r="H8" i="7"/>
  <c r="F8" i="7"/>
  <c r="D8" i="7" a="1"/>
  <c r="D8" i="7" s="1"/>
  <c r="B8" i="7"/>
  <c r="H60" i="9"/>
  <c r="I60" i="9" s="1"/>
  <c r="E60" i="9" a="1"/>
  <c r="E60" i="9" s="1"/>
  <c r="H59" i="9"/>
  <c r="I59" i="9" s="1"/>
  <c r="E59" i="9" a="1"/>
  <c r="E59" i="9" s="1"/>
  <c r="H58" i="9"/>
  <c r="I58" i="9" s="1"/>
  <c r="E58" i="9" a="1"/>
  <c r="E58" i="9" s="1"/>
  <c r="H57" i="9"/>
  <c r="I57" i="9" s="1"/>
  <c r="E57" i="9" a="1"/>
  <c r="E57" i="9" s="1"/>
  <c r="H55" i="9"/>
  <c r="I55" i="9" s="1"/>
  <c r="E55" i="9" a="1"/>
  <c r="E55" i="9" s="1"/>
  <c r="F4" i="7"/>
  <c r="F5" i="7"/>
  <c r="F6" i="7"/>
  <c r="F7" i="7"/>
  <c r="F9" i="7"/>
  <c r="F10" i="7"/>
  <c r="F11" i="7"/>
  <c r="F12" i="7"/>
  <c r="F13" i="7"/>
  <c r="F14" i="7"/>
  <c r="F15" i="7"/>
  <c r="F16" i="7"/>
  <c r="F18" i="7"/>
  <c r="F19" i="7"/>
  <c r="F20" i="7"/>
  <c r="F22" i="7"/>
  <c r="F23" i="7"/>
  <c r="F24" i="7"/>
  <c r="F25" i="7"/>
  <c r="F26" i="7"/>
  <c r="F29" i="7"/>
  <c r="F31" i="7"/>
  <c r="F33" i="7"/>
  <c r="F34" i="7"/>
  <c r="F35" i="7"/>
  <c r="F36" i="7"/>
  <c r="F37" i="7"/>
  <c r="F38" i="7"/>
  <c r="F39" i="7"/>
  <c r="F42" i="7"/>
  <c r="F43" i="7"/>
  <c r="F44" i="7"/>
  <c r="F45" i="7"/>
  <c r="F46" i="7"/>
  <c r="F47" i="7"/>
  <c r="F48" i="7"/>
  <c r="F49" i="7"/>
  <c r="F50" i="7"/>
  <c r="F51" i="7"/>
  <c r="F53" i="7"/>
  <c r="F54" i="7"/>
  <c r="F55" i="7"/>
  <c r="F56" i="7"/>
  <c r="F63" i="7"/>
  <c r="F64" i="7"/>
  <c r="F65" i="7"/>
  <c r="F66" i="7"/>
  <c r="F67" i="7"/>
  <c r="F68" i="7"/>
  <c r="F69" i="7"/>
  <c r="F70" i="7"/>
  <c r="F71" i="7"/>
  <c r="F72" i="7"/>
  <c r="F73" i="7"/>
  <c r="F74" i="7"/>
  <c r="F75" i="7"/>
  <c r="F76" i="7"/>
  <c r="F77" i="7"/>
  <c r="F81" i="7"/>
  <c r="F82" i="7"/>
  <c r="F83" i="7"/>
  <c r="F84" i="7"/>
  <c r="F85" i="7"/>
  <c r="F86" i="7"/>
  <c r="F87" i="7"/>
  <c r="F88" i="7"/>
  <c r="F89" i="7"/>
  <c r="F94" i="7"/>
  <c r="F95" i="7"/>
  <c r="F96" i="7"/>
  <c r="F97" i="7"/>
  <c r="F98" i="7"/>
  <c r="F100" i="7"/>
  <c r="F101" i="7"/>
  <c r="F102" i="7"/>
  <c r="F103" i="7"/>
  <c r="F107" i="7"/>
  <c r="F108" i="7"/>
  <c r="F109" i="7"/>
  <c r="F3" i="7"/>
  <c r="P14" i="7"/>
  <c r="N14" i="7"/>
  <c r="J14" i="7"/>
  <c r="H14" i="7"/>
  <c r="D14" i="7" a="1"/>
  <c r="D14" i="7" s="1"/>
  <c r="B14" i="7"/>
  <c r="P13" i="7"/>
  <c r="N13" i="7"/>
  <c r="J13" i="7"/>
  <c r="H13" i="7"/>
  <c r="D13" i="7" a="1"/>
  <c r="D13" i="7" s="1"/>
  <c r="B13" i="7"/>
  <c r="P12" i="7"/>
  <c r="N12" i="7"/>
  <c r="J12" i="7"/>
  <c r="H12" i="7"/>
  <c r="D12" i="7" a="1"/>
  <c r="D12" i="7" s="1"/>
  <c r="B12" i="7"/>
  <c r="P11" i="7"/>
  <c r="N11" i="7"/>
  <c r="J11" i="7"/>
  <c r="H11" i="7"/>
  <c r="D11" i="7" a="1"/>
  <c r="D11" i="7" s="1"/>
  <c r="B11" i="7"/>
  <c r="P10" i="7"/>
  <c r="N10" i="7"/>
  <c r="J10" i="7"/>
  <c r="H10" i="7"/>
  <c r="D10" i="7" a="1"/>
  <c r="D10" i="7" s="1"/>
  <c r="B10" i="7"/>
  <c r="P9" i="7"/>
  <c r="N9" i="7"/>
  <c r="J9" i="7"/>
  <c r="H9" i="7"/>
  <c r="D9" i="7" a="1"/>
  <c r="D9" i="7" s="1"/>
  <c r="B9" i="7"/>
  <c r="H65" i="9"/>
  <c r="I65" i="9" s="1"/>
  <c r="E65" i="9" a="1"/>
  <c r="E65" i="9" s="1"/>
  <c r="P72" i="7"/>
  <c r="N72" i="7"/>
  <c r="J72" i="7"/>
  <c r="H72" i="7"/>
  <c r="D72" i="7" a="1"/>
  <c r="D72" i="7" s="1"/>
  <c r="B72" i="7"/>
  <c r="P71" i="7"/>
  <c r="N71" i="7"/>
  <c r="J71" i="7"/>
  <c r="H71" i="7"/>
  <c r="D71" i="7" a="1"/>
  <c r="D71" i="7" s="1"/>
  <c r="B71" i="7"/>
  <c r="P83" i="7"/>
  <c r="N83" i="7"/>
  <c r="J83" i="7"/>
  <c r="H83" i="7"/>
  <c r="D83" i="7" a="1"/>
  <c r="D83" i="7" s="1"/>
  <c r="B83" i="7"/>
  <c r="P68" i="7"/>
  <c r="N68" i="7"/>
  <c r="J68" i="7"/>
  <c r="H68" i="7"/>
  <c r="D68" i="7" a="1"/>
  <c r="D68" i="7" s="1"/>
  <c r="B68" i="7"/>
  <c r="P38" i="7"/>
  <c r="N38" i="7"/>
  <c r="J38" i="7"/>
  <c r="H38" i="7"/>
  <c r="D38" i="7" a="1"/>
  <c r="D38" i="7" s="1"/>
  <c r="B38" i="7"/>
  <c r="D9" i="14"/>
  <c r="D5" i="15"/>
  <c r="F5" i="15"/>
  <c r="D4" i="15"/>
  <c r="F4" i="15"/>
  <c r="D7" i="15"/>
  <c r="F7" i="15"/>
  <c r="P24" i="7"/>
  <c r="J24" i="7"/>
  <c r="H24" i="7"/>
  <c r="D24" i="7" a="1"/>
  <c r="D24" i="7" s="1"/>
  <c r="B24" i="7"/>
  <c r="P23" i="7"/>
  <c r="J23" i="7"/>
  <c r="H23" i="7"/>
  <c r="D23" i="7" a="1"/>
  <c r="D23" i="7" s="1"/>
  <c r="B23" i="7"/>
  <c r="H22" i="9"/>
  <c r="I22" i="9" s="1"/>
  <c r="E22" i="9" a="1"/>
  <c r="E22" i="9" s="1"/>
  <c r="H21" i="9"/>
  <c r="I21" i="9" s="1"/>
  <c r="H23" i="9"/>
  <c r="I23" i="9" s="1"/>
  <c r="H24" i="9"/>
  <c r="I24" i="9" s="1"/>
  <c r="H25" i="9"/>
  <c r="I25" i="9" s="1"/>
  <c r="H26" i="9"/>
  <c r="I26" i="9" s="1"/>
  <c r="H27" i="9"/>
  <c r="I27" i="9" s="1"/>
  <c r="H28" i="9"/>
  <c r="I28" i="9" s="1"/>
  <c r="H29" i="9"/>
  <c r="I29" i="9" s="1"/>
  <c r="H30" i="9"/>
  <c r="I30" i="9" s="1"/>
  <c r="H31" i="9"/>
  <c r="I31" i="9" s="1"/>
  <c r="H32" i="9"/>
  <c r="I32" i="9" s="1"/>
  <c r="H33" i="9"/>
  <c r="I33" i="9" s="1"/>
  <c r="H34" i="9"/>
  <c r="I34" i="9" s="1"/>
  <c r="H35" i="9"/>
  <c r="I35" i="9" s="1"/>
  <c r="H36" i="9"/>
  <c r="I36" i="9" s="1"/>
  <c r="H37" i="9"/>
  <c r="I37" i="9" s="1"/>
  <c r="H38" i="9"/>
  <c r="I38" i="9" s="1"/>
  <c r="H39" i="9"/>
  <c r="I39" i="9" s="1"/>
  <c r="H40" i="9"/>
  <c r="I40" i="9" s="1"/>
  <c r="H41" i="9"/>
  <c r="I41" i="9" s="1"/>
  <c r="H42" i="9"/>
  <c r="I42" i="9" s="1"/>
  <c r="H43" i="9"/>
  <c r="I43" i="9" s="1"/>
  <c r="H44" i="9"/>
  <c r="I44" i="9" s="1"/>
  <c r="H45" i="9"/>
  <c r="I45" i="9" s="1"/>
  <c r="H46" i="9"/>
  <c r="I46" i="9" s="1"/>
  <c r="H47" i="9"/>
  <c r="I47" i="9" s="1"/>
  <c r="H48" i="9"/>
  <c r="I48" i="9" s="1"/>
  <c r="H49" i="9"/>
  <c r="I49" i="9" s="1"/>
  <c r="H51" i="9"/>
  <c r="I51" i="9" s="1"/>
  <c r="H52" i="9"/>
  <c r="I52" i="9" s="1"/>
  <c r="H53" i="9"/>
  <c r="I53" i="9" s="1"/>
  <c r="H54" i="9"/>
  <c r="I54" i="9" s="1"/>
  <c r="H61" i="9"/>
  <c r="I61" i="9" s="1"/>
  <c r="H62" i="9"/>
  <c r="I62" i="9" s="1"/>
  <c r="H63" i="9"/>
  <c r="I63" i="9" s="1"/>
  <c r="H64" i="9"/>
  <c r="I64" i="9" s="1"/>
  <c r="H66" i="9"/>
  <c r="I66" i="9" s="1"/>
  <c r="H67" i="9"/>
  <c r="I67" i="9" s="1"/>
  <c r="H68" i="9"/>
  <c r="I68" i="9" s="1"/>
  <c r="H69" i="9"/>
  <c r="I69" i="9" s="1"/>
  <c r="H70" i="9"/>
  <c r="I70" i="9" s="1"/>
  <c r="H71" i="9"/>
  <c r="I71" i="9" s="1"/>
  <c r="H72" i="9"/>
  <c r="I72" i="9" s="1"/>
  <c r="H73" i="9"/>
  <c r="I73" i="9" s="1"/>
  <c r="H74" i="9"/>
  <c r="I74" i="9" s="1"/>
  <c r="H75" i="9"/>
  <c r="I75" i="9" s="1"/>
  <c r="H76" i="9"/>
  <c r="I76" i="9" s="1"/>
  <c r="H77" i="9"/>
  <c r="I77" i="9" s="1"/>
  <c r="H78" i="9"/>
  <c r="I78" i="9" s="1"/>
  <c r="H79" i="9"/>
  <c r="I79" i="9" s="1"/>
  <c r="H80" i="9"/>
  <c r="I80" i="9" s="1"/>
  <c r="K30" i="9" l="1"/>
  <c r="K28" i="9"/>
  <c r="K29" i="9"/>
  <c r="K27" i="9"/>
  <c r="T8" i="7"/>
  <c r="U8" i="7" s="1"/>
  <c r="T9" i="7"/>
  <c r="U9" i="7" s="1"/>
  <c r="T13" i="7"/>
  <c r="U13" i="7" s="1"/>
  <c r="T14" i="7"/>
  <c r="U14" i="7" s="1"/>
  <c r="T12" i="7"/>
  <c r="U12" i="7" s="1"/>
  <c r="T11" i="7"/>
  <c r="U11" i="7" s="1"/>
  <c r="T10" i="7"/>
  <c r="U10" i="7" s="1"/>
  <c r="G23" i="9" l="1"/>
  <c r="G24" i="9"/>
  <c r="H3" i="9"/>
  <c r="I3" i="9" s="1"/>
  <c r="H4" i="9"/>
  <c r="I4" i="9" s="1"/>
  <c r="H5" i="9"/>
  <c r="I5" i="9" s="1"/>
  <c r="H6" i="9"/>
  <c r="I6" i="9" s="1"/>
  <c r="H7" i="9"/>
  <c r="I7" i="9" s="1"/>
  <c r="H8" i="9"/>
  <c r="I8" i="9" s="1"/>
  <c r="H9" i="9"/>
  <c r="I9" i="9" s="1"/>
  <c r="H11" i="9"/>
  <c r="I11" i="9" s="1"/>
  <c r="H13" i="9"/>
  <c r="I13" i="9" s="1"/>
  <c r="H14" i="9"/>
  <c r="I14" i="9" s="1"/>
  <c r="H15" i="9"/>
  <c r="I15" i="9" s="1"/>
  <c r="H16" i="9"/>
  <c r="I16" i="9" s="1"/>
  <c r="H17" i="9"/>
  <c r="I17" i="9" s="1"/>
  <c r="H20" i="9"/>
  <c r="I20" i="9" s="1"/>
  <c r="E3" i="9" a="1"/>
  <c r="E3" i="9" s="1"/>
  <c r="E4" i="9" a="1"/>
  <c r="E4" i="9" s="1"/>
  <c r="E5" i="9" a="1"/>
  <c r="E5" i="9" s="1"/>
  <c r="E6" i="9" a="1"/>
  <c r="E6" i="9" s="1"/>
  <c r="E7" i="9" a="1"/>
  <c r="E7" i="9" s="1"/>
  <c r="E8" i="9" a="1"/>
  <c r="E8" i="9" s="1"/>
  <c r="E9" i="9" a="1"/>
  <c r="E9" i="9" s="1"/>
  <c r="E11" i="9" a="1"/>
  <c r="E11" i="9" s="1"/>
  <c r="E13" i="9" a="1"/>
  <c r="E13" i="9" s="1"/>
  <c r="E14" i="9" a="1"/>
  <c r="E14" i="9" s="1"/>
  <c r="E15" i="9" a="1"/>
  <c r="E15" i="9" s="1"/>
  <c r="E16" i="9" a="1"/>
  <c r="E16" i="9" s="1"/>
  <c r="E17" i="9" a="1"/>
  <c r="E17" i="9" s="1"/>
  <c r="E20" i="9" a="1"/>
  <c r="E20" i="9" s="1"/>
  <c r="E21" i="9" a="1"/>
  <c r="E21" i="9" s="1"/>
  <c r="E23" i="9" a="1"/>
  <c r="E23" i="9" s="1"/>
  <c r="E24" i="9" a="1"/>
  <c r="E24" i="9" s="1"/>
  <c r="E25" i="9" a="1"/>
  <c r="E25" i="9" s="1"/>
  <c r="E26" i="9" a="1"/>
  <c r="E26" i="9" s="1"/>
  <c r="E27" i="9" a="1"/>
  <c r="E27" i="9" s="1"/>
  <c r="E28" i="9" a="1"/>
  <c r="E28" i="9" s="1"/>
  <c r="E29" i="9" a="1"/>
  <c r="E29" i="9" s="1"/>
  <c r="E30" i="9" a="1"/>
  <c r="E30" i="9" s="1"/>
  <c r="E31" i="9" a="1"/>
  <c r="E31" i="9" s="1"/>
  <c r="E32" i="9" a="1"/>
  <c r="E32" i="9" s="1"/>
  <c r="E33" i="9" a="1"/>
  <c r="E33" i="9" s="1"/>
  <c r="E34" i="9" a="1"/>
  <c r="E34" i="9" s="1"/>
  <c r="E35" i="9" a="1"/>
  <c r="E35" i="9" s="1"/>
  <c r="E36" i="9" a="1"/>
  <c r="E36" i="9" s="1"/>
  <c r="E37" i="9" a="1"/>
  <c r="E37" i="9" s="1"/>
  <c r="E38" i="9" a="1"/>
  <c r="E38" i="9" s="1"/>
  <c r="E39" i="9" a="1"/>
  <c r="E39" i="9" s="1"/>
  <c r="E40" i="9" a="1"/>
  <c r="E40" i="9" s="1"/>
  <c r="E41" i="9" a="1"/>
  <c r="E41" i="9" s="1"/>
  <c r="E42" i="9" a="1"/>
  <c r="E42" i="9" s="1"/>
  <c r="E43" i="9" a="1"/>
  <c r="E43" i="9" s="1"/>
  <c r="E44" i="9" a="1"/>
  <c r="E44" i="9" s="1"/>
  <c r="E45" i="9" a="1"/>
  <c r="E45" i="9" s="1"/>
  <c r="E46" i="9" a="1"/>
  <c r="E46" i="9" s="1"/>
  <c r="E47" i="9" a="1"/>
  <c r="E47" i="9" s="1"/>
  <c r="E48" i="9" a="1"/>
  <c r="E48" i="9" s="1"/>
  <c r="E49" i="9" a="1"/>
  <c r="E49" i="9" s="1"/>
  <c r="E51" i="9" a="1"/>
  <c r="E51" i="9" s="1"/>
  <c r="E52" i="9" a="1"/>
  <c r="E52" i="9" s="1"/>
  <c r="E53" i="9" a="1"/>
  <c r="E53" i="9" s="1"/>
  <c r="E54" i="9" a="1"/>
  <c r="E54" i="9" s="1"/>
  <c r="E61" i="9" a="1"/>
  <c r="E61" i="9" s="1"/>
  <c r="E62" i="9" a="1"/>
  <c r="E62" i="9" s="1"/>
  <c r="E63" i="9" a="1"/>
  <c r="E63" i="9" s="1"/>
  <c r="E64" i="9" a="1"/>
  <c r="E64" i="9" s="1"/>
  <c r="E66" i="9" a="1"/>
  <c r="E66" i="9" s="1"/>
  <c r="E67" i="9" a="1"/>
  <c r="E67" i="9" s="1"/>
  <c r="E68" i="9" a="1"/>
  <c r="E68" i="9" s="1"/>
  <c r="E69" i="9" a="1"/>
  <c r="E69" i="9" s="1"/>
  <c r="E70" i="9" a="1"/>
  <c r="E70" i="9" s="1"/>
  <c r="E71" i="9" a="1"/>
  <c r="E71" i="9" s="1"/>
  <c r="E72" i="9" a="1"/>
  <c r="E72" i="9" s="1"/>
  <c r="E73" i="9" a="1"/>
  <c r="E73" i="9" s="1"/>
  <c r="E74" i="9" a="1"/>
  <c r="E74" i="9" s="1"/>
  <c r="E75" i="9" a="1"/>
  <c r="E75" i="9" s="1"/>
  <c r="E76" i="9" a="1"/>
  <c r="E76" i="9" s="1"/>
  <c r="E77" i="9" a="1"/>
  <c r="E77" i="9" s="1"/>
  <c r="E78" i="9" a="1"/>
  <c r="E78" i="9" s="1"/>
  <c r="E79" i="9" a="1"/>
  <c r="E79" i="9" s="1"/>
  <c r="E80" i="9" a="1"/>
  <c r="E80" i="9" s="1"/>
  <c r="E2" i="9" a="1"/>
  <c r="E2" i="9" s="1"/>
  <c r="P103" i="7"/>
  <c r="N103" i="7"/>
  <c r="J103" i="7"/>
  <c r="H103" i="7"/>
  <c r="D103" i="7" a="1"/>
  <c r="D103" i="7" s="1"/>
  <c r="B103" i="7"/>
  <c r="P102" i="7"/>
  <c r="N102" i="7"/>
  <c r="J102" i="7"/>
  <c r="H102" i="7"/>
  <c r="D102" i="7" a="1"/>
  <c r="D102" i="7" s="1"/>
  <c r="B102" i="7"/>
  <c r="K24" i="9" l="1"/>
  <c r="J24" i="9"/>
  <c r="K23" i="9"/>
  <c r="J23" i="9"/>
  <c r="P42" i="7"/>
  <c r="N42" i="7"/>
  <c r="J42" i="7"/>
  <c r="H42" i="7"/>
  <c r="D42" i="7" a="1"/>
  <c r="D42" i="7" s="1"/>
  <c r="B42" i="7"/>
  <c r="T42" i="7" l="1"/>
  <c r="U42" i="7" s="1"/>
  <c r="O28" i="9"/>
  <c r="O29" i="9"/>
  <c r="O24" i="9"/>
  <c r="O27" i="9"/>
  <c r="O30" i="9"/>
  <c r="O23" i="9"/>
  <c r="K5" i="14" l="1"/>
  <c r="K4" i="14"/>
  <c r="K3" i="14"/>
  <c r="K2" i="14"/>
  <c r="P89" i="7"/>
  <c r="N89" i="7"/>
  <c r="J89" i="7"/>
  <c r="H89" i="7"/>
  <c r="D89" i="7" a="1"/>
  <c r="D89" i="7" s="1"/>
  <c r="B89" i="7"/>
  <c r="P88" i="7"/>
  <c r="N88" i="7"/>
  <c r="J88" i="7"/>
  <c r="H88" i="7"/>
  <c r="D88" i="7" a="1"/>
  <c r="D88" i="7" s="1"/>
  <c r="B88" i="7"/>
  <c r="P87" i="7"/>
  <c r="N87" i="7"/>
  <c r="J87" i="7"/>
  <c r="H87" i="7"/>
  <c r="D87" i="7" a="1"/>
  <c r="D87" i="7" s="1"/>
  <c r="B87" i="7"/>
  <c r="B48" i="7"/>
  <c r="D48" i="7" a="1"/>
  <c r="D48" i="7" s="1"/>
  <c r="H48" i="7"/>
  <c r="J48" i="7"/>
  <c r="N48" i="7"/>
  <c r="P48" i="7"/>
  <c r="B49" i="7"/>
  <c r="D49" i="7" a="1"/>
  <c r="D49" i="7" s="1"/>
  <c r="H49" i="7"/>
  <c r="J49" i="7"/>
  <c r="N49" i="7"/>
  <c r="P49" i="7"/>
  <c r="B34" i="7"/>
  <c r="D34" i="7" a="1"/>
  <c r="D34" i="7" s="1"/>
  <c r="H34" i="7"/>
  <c r="J34" i="7"/>
  <c r="N34" i="7"/>
  <c r="P34" i="7"/>
  <c r="P5" i="7"/>
  <c r="N5" i="7"/>
  <c r="J5" i="7"/>
  <c r="H5" i="7"/>
  <c r="D5" i="7" a="1"/>
  <c r="D5" i="7" s="1"/>
  <c r="B5" i="7"/>
  <c r="D3" i="15"/>
  <c r="F3" i="15"/>
  <c r="T48" i="7" l="1"/>
  <c r="U48" i="7" s="1"/>
  <c r="T5" i="7"/>
  <c r="U5" i="7" s="1"/>
  <c r="T49" i="7"/>
  <c r="U49" i="7" s="1"/>
  <c r="P56" i="7" l="1"/>
  <c r="N56" i="7"/>
  <c r="J56" i="7"/>
  <c r="H56" i="7"/>
  <c r="D56" i="7" a="1"/>
  <c r="D56" i="7" s="1"/>
  <c r="B56" i="7"/>
  <c r="D4" i="7" a="1"/>
  <c r="D4" i="7" s="1"/>
  <c r="D6" i="7" a="1"/>
  <c r="D6" i="7" s="1"/>
  <c r="D7" i="7" a="1"/>
  <c r="D7" i="7" s="1"/>
  <c r="D15" i="7" a="1"/>
  <c r="D15" i="7" s="1"/>
  <c r="D16" i="7" a="1"/>
  <c r="D16" i="7" s="1"/>
  <c r="D18" i="7" a="1"/>
  <c r="D18" i="7" s="1"/>
  <c r="D19" i="7" a="1"/>
  <c r="D19" i="7" s="1"/>
  <c r="D20" i="7" a="1"/>
  <c r="D20" i="7" s="1"/>
  <c r="D22" i="7" a="1"/>
  <c r="D22" i="7" s="1"/>
  <c r="D69" i="7" a="1"/>
  <c r="D69" i="7" s="1"/>
  <c r="D70" i="7" a="1"/>
  <c r="D70" i="7" s="1"/>
  <c r="D25" i="7" a="1"/>
  <c r="D25" i="7" s="1"/>
  <c r="D26" i="7" a="1"/>
  <c r="D26" i="7" s="1"/>
  <c r="D29" i="7" a="1"/>
  <c r="D29" i="7" s="1"/>
  <c r="D31" i="7" a="1"/>
  <c r="D31" i="7" s="1"/>
  <c r="D33" i="7" a="1"/>
  <c r="D33" i="7" s="1"/>
  <c r="D35" i="7" a="1"/>
  <c r="D35" i="7" s="1"/>
  <c r="D36" i="7" a="1"/>
  <c r="D36" i="7" s="1"/>
  <c r="D37" i="7" a="1"/>
  <c r="D37" i="7" s="1"/>
  <c r="D39" i="7" a="1"/>
  <c r="D39" i="7" s="1"/>
  <c r="D43" i="7" a="1"/>
  <c r="D43" i="7" s="1"/>
  <c r="D44" i="7" a="1"/>
  <c r="D44" i="7" s="1"/>
  <c r="D45" i="7" a="1"/>
  <c r="D45" i="7" s="1"/>
  <c r="D46" i="7" a="1"/>
  <c r="D46" i="7" s="1"/>
  <c r="D47" i="7" a="1"/>
  <c r="D47" i="7" s="1"/>
  <c r="D50" i="7" a="1"/>
  <c r="D50" i="7" s="1"/>
  <c r="D51" i="7" a="1"/>
  <c r="D51" i="7" s="1"/>
  <c r="D53" i="7" a="1"/>
  <c r="D53" i="7" s="1"/>
  <c r="D54" i="7" a="1"/>
  <c r="D54" i="7" s="1"/>
  <c r="D55" i="7" a="1"/>
  <c r="D55" i="7" s="1"/>
  <c r="D63" i="7" a="1"/>
  <c r="D63" i="7" s="1"/>
  <c r="D64" i="7" a="1"/>
  <c r="D64" i="7" s="1"/>
  <c r="D65" i="7" a="1"/>
  <c r="D65" i="7" s="1"/>
  <c r="D66" i="7" a="1"/>
  <c r="D66" i="7" s="1"/>
  <c r="D67" i="7" a="1"/>
  <c r="D67" i="7" s="1"/>
  <c r="D73" i="7" a="1"/>
  <c r="D73" i="7" s="1"/>
  <c r="D74" i="7" a="1"/>
  <c r="D74" i="7" s="1"/>
  <c r="D75" i="7" a="1"/>
  <c r="D75" i="7" s="1"/>
  <c r="D76" i="7" a="1"/>
  <c r="D76" i="7" s="1"/>
  <c r="D77" i="7" a="1"/>
  <c r="D77" i="7" s="1"/>
  <c r="D81" i="7" a="1"/>
  <c r="D81" i="7" s="1"/>
  <c r="D82" i="7" a="1"/>
  <c r="D82" i="7" s="1"/>
  <c r="D84" i="7" a="1"/>
  <c r="D84" i="7" s="1"/>
  <c r="D85" i="7" a="1"/>
  <c r="D85" i="7" s="1"/>
  <c r="D86" i="7" a="1"/>
  <c r="D86" i="7" s="1"/>
  <c r="D94" i="7" a="1"/>
  <c r="D94" i="7" s="1"/>
  <c r="D95" i="7" a="1"/>
  <c r="D95" i="7" s="1"/>
  <c r="D96" i="7" a="1"/>
  <c r="D96" i="7" s="1"/>
  <c r="D97" i="7" a="1"/>
  <c r="D97" i="7" s="1"/>
  <c r="D98" i="7" a="1"/>
  <c r="D98" i="7" s="1"/>
  <c r="D100" i="7" a="1"/>
  <c r="D100" i="7" s="1"/>
  <c r="D101" i="7" a="1"/>
  <c r="D101" i="7" s="1"/>
  <c r="D107" i="7" a="1"/>
  <c r="D107" i="7" s="1"/>
  <c r="D108" i="7" a="1"/>
  <c r="D108" i="7" s="1"/>
  <c r="D109" i="7" a="1"/>
  <c r="D109" i="7" s="1"/>
  <c r="D3" i="7" a="1"/>
  <c r="D3" i="7" s="1"/>
  <c r="P55" i="7"/>
  <c r="N55" i="7"/>
  <c r="J55" i="7"/>
  <c r="H55" i="7"/>
  <c r="B55" i="7"/>
  <c r="R29" i="9" l="1"/>
  <c r="R28" i="9"/>
  <c r="R24" i="9"/>
  <c r="R23" i="9"/>
  <c r="R30" i="9"/>
  <c r="R27" i="9"/>
  <c r="J64" i="7"/>
  <c r="J63" i="7"/>
  <c r="P64" i="7"/>
  <c r="H64" i="7"/>
  <c r="B64" i="7"/>
  <c r="J4" i="7"/>
  <c r="J6" i="7"/>
  <c r="J7" i="7"/>
  <c r="J15" i="7"/>
  <c r="J16" i="7"/>
  <c r="J18" i="7"/>
  <c r="J19" i="7"/>
  <c r="J20" i="7"/>
  <c r="J22" i="7"/>
  <c r="J69" i="7"/>
  <c r="J70" i="7"/>
  <c r="J25" i="7"/>
  <c r="J26" i="7"/>
  <c r="J29" i="7"/>
  <c r="J31" i="7"/>
  <c r="J33" i="7"/>
  <c r="J35" i="7"/>
  <c r="J36" i="7"/>
  <c r="J37" i="7"/>
  <c r="J39" i="7"/>
  <c r="J43" i="7"/>
  <c r="J44" i="7"/>
  <c r="J45" i="7"/>
  <c r="J47" i="7"/>
  <c r="J50" i="7"/>
  <c r="J51" i="7"/>
  <c r="J46" i="7"/>
  <c r="J53" i="7"/>
  <c r="J54" i="7"/>
  <c r="J65" i="7"/>
  <c r="J66" i="7"/>
  <c r="J67" i="7"/>
  <c r="J73" i="7"/>
  <c r="J74" i="7"/>
  <c r="J75" i="7"/>
  <c r="J76" i="7"/>
  <c r="J77" i="7"/>
  <c r="J81" i="7"/>
  <c r="J82" i="7"/>
  <c r="J84" i="7"/>
  <c r="J85" i="7"/>
  <c r="J86" i="7"/>
  <c r="J94" i="7"/>
  <c r="J95" i="7"/>
  <c r="J96" i="7"/>
  <c r="J97" i="7"/>
  <c r="J98" i="7"/>
  <c r="J100" i="7"/>
  <c r="J101" i="7"/>
  <c r="J107" i="7"/>
  <c r="J108" i="7"/>
  <c r="J109" i="7"/>
  <c r="J3" i="7"/>
  <c r="B43" i="7" l="1"/>
  <c r="H43" i="7"/>
  <c r="N43" i="7"/>
  <c r="P43" i="7"/>
  <c r="P96" i="7"/>
  <c r="N96" i="7"/>
  <c r="H96" i="7"/>
  <c r="B96" i="7"/>
  <c r="P98" i="7"/>
  <c r="N98" i="7"/>
  <c r="H98" i="7"/>
  <c r="B98" i="7"/>
  <c r="P67" i="7"/>
  <c r="N67" i="7"/>
  <c r="H67" i="7"/>
  <c r="B67" i="7"/>
  <c r="P37" i="7"/>
  <c r="N37" i="7"/>
  <c r="H37" i="7"/>
  <c r="B37" i="7"/>
  <c r="P45" i="7"/>
  <c r="N45" i="7"/>
  <c r="H45" i="7"/>
  <c r="B45" i="7"/>
  <c r="P26" i="7"/>
  <c r="N26" i="7"/>
  <c r="H26" i="7"/>
  <c r="B26" i="7"/>
  <c r="E19" i="11"/>
  <c r="E18" i="11"/>
  <c r="E17" i="11"/>
  <c r="E16" i="11"/>
  <c r="E15" i="11"/>
  <c r="T45" i="7" l="1"/>
  <c r="U45" i="7" s="1"/>
  <c r="T43" i="7"/>
  <c r="U43" i="7" s="1"/>
  <c r="P16" i="7" l="1"/>
  <c r="N16" i="7"/>
  <c r="H16" i="7"/>
  <c r="B16" i="7"/>
  <c r="T16" i="7" l="1"/>
  <c r="U16" i="7" s="1"/>
  <c r="B107" i="7"/>
  <c r="B108" i="7"/>
  <c r="B109" i="7"/>
  <c r="P54" i="7"/>
  <c r="N54" i="7"/>
  <c r="H54" i="7"/>
  <c r="B54" i="7"/>
  <c r="N4" i="7"/>
  <c r="N6" i="7"/>
  <c r="N25" i="7"/>
  <c r="N35" i="7"/>
  <c r="N44" i="7"/>
  <c r="N7" i="7"/>
  <c r="N18" i="7"/>
  <c r="N19" i="7"/>
  <c r="N20" i="7"/>
  <c r="N69" i="7"/>
  <c r="N70" i="7"/>
  <c r="N29" i="7"/>
  <c r="N31" i="7"/>
  <c r="N33" i="7"/>
  <c r="N36" i="7"/>
  <c r="N39" i="7"/>
  <c r="N15" i="7"/>
  <c r="N47" i="7"/>
  <c r="N50" i="7"/>
  <c r="N51" i="7"/>
  <c r="N46" i="7"/>
  <c r="N53" i="7"/>
  <c r="N66" i="7"/>
  <c r="N73" i="7"/>
  <c r="N74" i="7"/>
  <c r="N75" i="7"/>
  <c r="N76" i="7"/>
  <c r="N77" i="7"/>
  <c r="N81" i="7"/>
  <c r="N82" i="7"/>
  <c r="N84" i="7"/>
  <c r="N85" i="7"/>
  <c r="N86" i="7"/>
  <c r="N94" i="7"/>
  <c r="N95" i="7"/>
  <c r="N97" i="7"/>
  <c r="N100" i="7"/>
  <c r="N101" i="7"/>
  <c r="N107" i="7"/>
  <c r="N108" i="7"/>
  <c r="N109" i="7"/>
  <c r="N3" i="7"/>
  <c r="H107" i="7" l="1"/>
  <c r="H108" i="7"/>
  <c r="H109" i="7"/>
  <c r="H4" i="7"/>
  <c r="H6" i="7"/>
  <c r="H25" i="7"/>
  <c r="H35" i="7"/>
  <c r="H44" i="7"/>
  <c r="H7" i="7"/>
  <c r="H18" i="7"/>
  <c r="H19" i="7"/>
  <c r="H20" i="7"/>
  <c r="H22" i="7"/>
  <c r="H69" i="7"/>
  <c r="H70" i="7"/>
  <c r="H29" i="7"/>
  <c r="H31" i="7"/>
  <c r="H33" i="7"/>
  <c r="H36" i="7"/>
  <c r="H39" i="7"/>
  <c r="H15" i="7"/>
  <c r="H47" i="7"/>
  <c r="H50" i="7"/>
  <c r="H51" i="7"/>
  <c r="H46" i="7"/>
  <c r="H53" i="7"/>
  <c r="H63" i="7"/>
  <c r="H65" i="7"/>
  <c r="H66" i="7"/>
  <c r="H73" i="7"/>
  <c r="H74" i="7"/>
  <c r="H75" i="7"/>
  <c r="H76" i="7"/>
  <c r="H77" i="7"/>
  <c r="H81" i="7"/>
  <c r="H82" i="7"/>
  <c r="H84" i="7"/>
  <c r="H85" i="7"/>
  <c r="H86" i="7"/>
  <c r="H94" i="7"/>
  <c r="H95" i="7"/>
  <c r="H97" i="7"/>
  <c r="H100" i="7"/>
  <c r="H101" i="7"/>
  <c r="H3" i="7"/>
  <c r="P108" i="7"/>
  <c r="B4" i="7"/>
  <c r="B6" i="7"/>
  <c r="B25" i="7"/>
  <c r="B35" i="7"/>
  <c r="B44" i="7"/>
  <c r="B7" i="7"/>
  <c r="B18" i="7"/>
  <c r="B19" i="7"/>
  <c r="B20" i="7"/>
  <c r="B22" i="7"/>
  <c r="B69" i="7"/>
  <c r="B70" i="7"/>
  <c r="B29" i="7"/>
  <c r="B31" i="7"/>
  <c r="B33" i="7"/>
  <c r="B36" i="7"/>
  <c r="B39" i="7"/>
  <c r="B15" i="7"/>
  <c r="B47" i="7"/>
  <c r="B50" i="7"/>
  <c r="B51" i="7"/>
  <c r="B46" i="7"/>
  <c r="B53" i="7"/>
  <c r="B63" i="7"/>
  <c r="B65" i="7"/>
  <c r="B66" i="7"/>
  <c r="B73" i="7"/>
  <c r="B74" i="7"/>
  <c r="B75" i="7"/>
  <c r="B76" i="7"/>
  <c r="B77" i="7"/>
  <c r="B81" i="7"/>
  <c r="B82" i="7"/>
  <c r="B84" i="7"/>
  <c r="B85" i="7"/>
  <c r="B86" i="7"/>
  <c r="B94" i="7"/>
  <c r="B95" i="7"/>
  <c r="B97" i="7"/>
  <c r="B100" i="7"/>
  <c r="B101" i="7"/>
  <c r="B3" i="7"/>
  <c r="P4" i="7"/>
  <c r="P6" i="7"/>
  <c r="P25" i="7"/>
  <c r="P35" i="7"/>
  <c r="P44" i="7"/>
  <c r="P7" i="7"/>
  <c r="P18" i="7"/>
  <c r="P19" i="7"/>
  <c r="P20" i="7"/>
  <c r="P22" i="7"/>
  <c r="P69" i="7"/>
  <c r="P70" i="7"/>
  <c r="P29" i="7"/>
  <c r="P31" i="7"/>
  <c r="P33" i="7"/>
  <c r="P36" i="7"/>
  <c r="P39" i="7"/>
  <c r="P15" i="7"/>
  <c r="P47" i="7"/>
  <c r="P50" i="7"/>
  <c r="P51" i="7"/>
  <c r="P46" i="7"/>
  <c r="P53" i="7"/>
  <c r="P63" i="7"/>
  <c r="P65" i="7"/>
  <c r="P66" i="7"/>
  <c r="P73" i="7"/>
  <c r="P74" i="7"/>
  <c r="P75" i="7"/>
  <c r="P76" i="7"/>
  <c r="P77" i="7"/>
  <c r="P81" i="7"/>
  <c r="P82" i="7"/>
  <c r="P84" i="7"/>
  <c r="P85" i="7"/>
  <c r="P86" i="7"/>
  <c r="P94" i="7"/>
  <c r="P95" i="7"/>
  <c r="P97" i="7"/>
  <c r="P100" i="7"/>
  <c r="P101" i="7"/>
  <c r="P107" i="7"/>
  <c r="P109" i="7"/>
  <c r="P3" i="7"/>
  <c r="T95" i="7" l="1"/>
  <c r="U95" i="7" s="1"/>
  <c r="T76" i="7"/>
  <c r="U76" i="7" s="1"/>
  <c r="T46" i="7"/>
  <c r="U46" i="7" s="1"/>
  <c r="T31" i="7"/>
  <c r="U31" i="7" s="1"/>
  <c r="T94" i="7"/>
  <c r="U94" i="7" s="1"/>
  <c r="T51" i="7"/>
  <c r="U51" i="7" s="1"/>
  <c r="T29" i="7"/>
  <c r="U29" i="7" s="1"/>
  <c r="T50" i="7"/>
  <c r="U50" i="7" s="1"/>
  <c r="T7" i="7"/>
  <c r="U7" i="7" s="1"/>
  <c r="T47" i="7"/>
  <c r="U47" i="7" s="1"/>
  <c r="T44" i="7"/>
  <c r="U44" i="7" s="1"/>
  <c r="T3" i="7"/>
  <c r="U3" i="7" s="1"/>
  <c r="T15" i="7"/>
  <c r="U15" i="7" s="1"/>
  <c r="T35" i="7"/>
  <c r="U35" i="7" s="1"/>
  <c r="T101" i="7"/>
  <c r="U101" i="7" s="1"/>
  <c r="T25" i="7"/>
  <c r="U25" i="7" s="1"/>
  <c r="T109" i="7"/>
  <c r="U109" i="7" s="1"/>
  <c r="T100" i="7"/>
  <c r="U100" i="7" s="1"/>
  <c r="T6" i="7"/>
  <c r="U6" i="7" s="1"/>
  <c r="T108" i="7"/>
  <c r="U108" i="7" s="1"/>
  <c r="T77" i="7"/>
  <c r="U77" i="7" s="1"/>
  <c r="T4" i="7"/>
  <c r="U4" i="7" s="1"/>
  <c r="T107" i="7"/>
  <c r="U107" i="7" s="1"/>
  <c r="E5" i="6" l="1"/>
  <c r="N12" i="9" s="1"/>
  <c r="E71" i="6"/>
  <c r="N41" i="9" s="1"/>
  <c r="E41" i="6"/>
  <c r="N54" i="9" s="1"/>
  <c r="E10" i="6"/>
  <c r="N7" i="9" s="1"/>
  <c r="E37" i="6"/>
  <c r="N2" i="9" s="1"/>
  <c r="E4" i="6"/>
  <c r="N3" i="9" s="1"/>
  <c r="E3" i="6"/>
  <c r="N11" i="9" s="1"/>
  <c r="J4" i="13" l="1"/>
  <c r="R86" i="7"/>
  <c r="T86" i="7" s="1"/>
  <c r="U86" i="7" s="1"/>
  <c r="G78" i="9" l="1"/>
  <c r="G61" i="9"/>
  <c r="G71" i="9"/>
  <c r="G63" i="9"/>
  <c r="R88" i="7"/>
  <c r="T88" i="7" s="1"/>
  <c r="U88" i="7" s="1"/>
  <c r="R74" i="7"/>
  <c r="T74" i="7" s="1"/>
  <c r="U74" i="7" s="1"/>
  <c r="R73" i="7"/>
  <c r="T73" i="7" s="1"/>
  <c r="U73" i="7" s="1"/>
  <c r="G80" i="9"/>
  <c r="G76" i="9"/>
  <c r="G66" i="9"/>
  <c r="R75" i="7"/>
  <c r="T75" i="7" s="1"/>
  <c r="U75" i="7" s="1"/>
  <c r="G64" i="9"/>
  <c r="G73" i="9"/>
  <c r="G75" i="9"/>
  <c r="G62" i="9"/>
  <c r="R34" i="7"/>
  <c r="T34" i="7" s="1"/>
  <c r="U34" i="7" s="1"/>
  <c r="R82" i="7"/>
  <c r="T82" i="7" s="1"/>
  <c r="U82" i="7" s="1"/>
  <c r="R36" i="7"/>
  <c r="T36" i="7" s="1"/>
  <c r="U36" i="7" s="1"/>
  <c r="R84" i="7"/>
  <c r="T84" i="7" s="1"/>
  <c r="U84" i="7" s="1"/>
  <c r="R87" i="7"/>
  <c r="T87" i="7" s="1"/>
  <c r="U87" i="7" s="1"/>
  <c r="R38" i="7"/>
  <c r="T38" i="7" s="1"/>
  <c r="U38" i="7" s="1"/>
  <c r="R85" i="7"/>
  <c r="T85" i="7" s="1"/>
  <c r="U85" i="7" s="1"/>
  <c r="R68" i="7"/>
  <c r="T68" i="7" s="1"/>
  <c r="U68" i="7" s="1"/>
  <c r="R39" i="7"/>
  <c r="T39" i="7" s="1"/>
  <c r="U39" i="7" s="1"/>
  <c r="R37" i="7"/>
  <c r="T37" i="7" s="1"/>
  <c r="U37" i="7" s="1"/>
  <c r="R81" i="7"/>
  <c r="T81" i="7" s="1"/>
  <c r="U81" i="7" s="1"/>
  <c r="G70" i="9"/>
  <c r="G79" i="9"/>
  <c r="R67" i="7"/>
  <c r="T67" i="7" s="1"/>
  <c r="U67" i="7" s="1"/>
  <c r="R66" i="7"/>
  <c r="T66" i="7" s="1"/>
  <c r="U66" i="7" s="1"/>
  <c r="R89" i="7"/>
  <c r="T89" i="7" s="1"/>
  <c r="U89" i="7" s="1"/>
  <c r="R83" i="7"/>
  <c r="T83" i="7" s="1"/>
  <c r="U83" i="7" s="1"/>
  <c r="G72" i="9"/>
  <c r="G77" i="9"/>
  <c r="G67" i="9"/>
  <c r="G65" i="9"/>
  <c r="R33" i="7"/>
  <c r="T33" i="7" s="1"/>
  <c r="U33" i="7" s="1"/>
  <c r="G68" i="9"/>
  <c r="G69" i="9"/>
  <c r="G74" i="9"/>
  <c r="N65" i="7"/>
  <c r="T65" i="7" s="1"/>
  <c r="U65" i="7" s="1"/>
  <c r="N24" i="7"/>
  <c r="T24" i="7" s="1"/>
  <c r="U24" i="7" s="1"/>
  <c r="N22" i="7"/>
  <c r="T22" i="7" s="1"/>
  <c r="U22" i="7" s="1"/>
  <c r="N23" i="7"/>
  <c r="T23" i="7" s="1"/>
  <c r="U23" i="7" s="1"/>
  <c r="N63" i="7"/>
  <c r="T63" i="7" s="1"/>
  <c r="U63" i="7" s="1"/>
  <c r="N64" i="7"/>
  <c r="T64" i="7" s="1"/>
  <c r="U64" i="7" s="1"/>
  <c r="G21" i="9"/>
  <c r="K74" i="9" l="1"/>
  <c r="O74" i="9" s="1"/>
  <c r="R74" i="9" s="1"/>
  <c r="J74" i="9"/>
  <c r="K65" i="9"/>
  <c r="O65" i="9" s="1"/>
  <c r="R65" i="9" s="1"/>
  <c r="J65" i="9"/>
  <c r="K64" i="9"/>
  <c r="O64" i="9" s="1"/>
  <c r="R64" i="9" s="1"/>
  <c r="J64" i="9"/>
  <c r="K21" i="9"/>
  <c r="O21" i="9" s="1"/>
  <c r="R21" i="9" s="1"/>
  <c r="J21" i="9"/>
  <c r="K67" i="9"/>
  <c r="O67" i="9" s="1"/>
  <c r="R67" i="9" s="1"/>
  <c r="J67" i="9"/>
  <c r="K77" i="9"/>
  <c r="O77" i="9" s="1"/>
  <c r="R77" i="9" s="1"/>
  <c r="J77" i="9"/>
  <c r="K66" i="9"/>
  <c r="O66" i="9" s="1"/>
  <c r="R66" i="9" s="1"/>
  <c r="J66" i="9"/>
  <c r="K72" i="9"/>
  <c r="O72" i="9" s="1"/>
  <c r="R72" i="9" s="1"/>
  <c r="J72" i="9"/>
  <c r="K76" i="9"/>
  <c r="O76" i="9" s="1"/>
  <c r="R76" i="9" s="1"/>
  <c r="J76" i="9"/>
  <c r="K80" i="9"/>
  <c r="O80" i="9" s="1"/>
  <c r="R80" i="9" s="1"/>
  <c r="J80" i="9"/>
  <c r="K79" i="9"/>
  <c r="O79" i="9" s="1"/>
  <c r="R79" i="9" s="1"/>
  <c r="J79" i="9"/>
  <c r="K69" i="9"/>
  <c r="O69" i="9" s="1"/>
  <c r="R69" i="9" s="1"/>
  <c r="J69" i="9"/>
  <c r="K62" i="9"/>
  <c r="O62" i="9" s="1"/>
  <c r="R62" i="9" s="1"/>
  <c r="J62" i="9"/>
  <c r="K68" i="9"/>
  <c r="O68" i="9" s="1"/>
  <c r="R68" i="9" s="1"/>
  <c r="J68" i="9"/>
  <c r="K75" i="9"/>
  <c r="O75" i="9" s="1"/>
  <c r="R75" i="9" s="1"/>
  <c r="J75" i="9"/>
  <c r="K61" i="9"/>
  <c r="O61" i="9" s="1"/>
  <c r="R61" i="9" s="1"/>
  <c r="J61" i="9"/>
  <c r="K63" i="9"/>
  <c r="O63" i="9" s="1"/>
  <c r="R63" i="9" s="1"/>
  <c r="J63" i="9"/>
  <c r="K70" i="9"/>
  <c r="O70" i="9" s="1"/>
  <c r="R70" i="9" s="1"/>
  <c r="J70" i="9"/>
  <c r="K71" i="9"/>
  <c r="O71" i="9" s="1"/>
  <c r="R71" i="9" s="1"/>
  <c r="J71" i="9"/>
  <c r="K73" i="9"/>
  <c r="O73" i="9" s="1"/>
  <c r="R73" i="9" s="1"/>
  <c r="J73" i="9"/>
  <c r="K78" i="9"/>
  <c r="O78" i="9" s="1"/>
  <c r="R78" i="9" s="1"/>
  <c r="J78" i="9"/>
  <c r="G55" i="9"/>
  <c r="G44" i="9"/>
  <c r="G54" i="9"/>
  <c r="J6" i="13"/>
  <c r="J5" i="13"/>
  <c r="G46" i="9"/>
  <c r="G56" i="9"/>
  <c r="G45" i="9"/>
  <c r="G22" i="9"/>
  <c r="K46" i="9" l="1"/>
  <c r="O46" i="9" s="1"/>
  <c r="R46" i="9" s="1"/>
  <c r="J46" i="9"/>
  <c r="K54" i="9"/>
  <c r="O54" i="9" s="1"/>
  <c r="R54" i="9" s="1"/>
  <c r="J54" i="9"/>
  <c r="K44" i="9"/>
  <c r="O44" i="9" s="1"/>
  <c r="R44" i="9" s="1"/>
  <c r="J44" i="9"/>
  <c r="K55" i="9"/>
  <c r="O55" i="9" s="1"/>
  <c r="R55" i="9" s="1"/>
  <c r="J55" i="9"/>
  <c r="K22" i="9"/>
  <c r="O22" i="9" s="1"/>
  <c r="R22" i="9" s="1"/>
  <c r="J22" i="9"/>
  <c r="K45" i="9"/>
  <c r="O45" i="9" s="1"/>
  <c r="R45" i="9" s="1"/>
  <c r="J45" i="9"/>
  <c r="K56" i="9"/>
  <c r="O56" i="9" s="1"/>
  <c r="R56" i="9" s="1"/>
  <c r="J56" i="9"/>
  <c r="G19" i="9"/>
  <c r="G18" i="9"/>
  <c r="G52" i="9"/>
  <c r="C33" i="20" a="1"/>
  <c r="C33" i="20" s="1"/>
  <c r="G49" i="9"/>
  <c r="G51" i="9"/>
  <c r="G53" i="9"/>
  <c r="G48" i="9"/>
  <c r="G14" i="9"/>
  <c r="G15" i="9"/>
  <c r="G57" i="9"/>
  <c r="G4" i="9"/>
  <c r="G26" i="9"/>
  <c r="G25" i="9"/>
  <c r="G17" i="9"/>
  <c r="G11" i="9"/>
  <c r="G36" i="9"/>
  <c r="G42" i="9"/>
  <c r="G32" i="9"/>
  <c r="G31" i="9"/>
  <c r="G8" i="9"/>
  <c r="G40" i="9"/>
  <c r="G6" i="9"/>
  <c r="G34" i="9"/>
  <c r="G41" i="9"/>
  <c r="G16" i="9"/>
  <c r="G58" i="9"/>
  <c r="G33" i="9"/>
  <c r="G38" i="9"/>
  <c r="G35" i="9"/>
  <c r="G2" i="9"/>
  <c r="G5" i="9"/>
  <c r="G3" i="9"/>
  <c r="G43" i="9"/>
  <c r="G39" i="9"/>
  <c r="G59" i="9"/>
  <c r="G13" i="9"/>
  <c r="G37" i="9"/>
  <c r="G9" i="9"/>
  <c r="G7" i="9"/>
  <c r="G20" i="9"/>
  <c r="G60" i="9"/>
  <c r="G47" i="9"/>
  <c r="K15" i="9" l="1"/>
  <c r="O15" i="9" s="1"/>
  <c r="R15" i="9" s="1"/>
  <c r="J15" i="9"/>
  <c r="K3" i="9"/>
  <c r="O3" i="9" s="1"/>
  <c r="R3" i="9" s="1"/>
  <c r="J3" i="9"/>
  <c r="K8" i="9"/>
  <c r="O8" i="9" s="1"/>
  <c r="R8" i="9" s="1"/>
  <c r="J8" i="9"/>
  <c r="K14" i="9"/>
  <c r="O14" i="9" s="1"/>
  <c r="R14" i="9" s="1"/>
  <c r="J14" i="9"/>
  <c r="K5" i="9"/>
  <c r="O5" i="9" s="1"/>
  <c r="R5" i="9" s="1"/>
  <c r="J5" i="9"/>
  <c r="K31" i="9"/>
  <c r="O31" i="9" s="1"/>
  <c r="R31" i="9" s="1"/>
  <c r="J31" i="9"/>
  <c r="K48" i="9"/>
  <c r="O48" i="9" s="1"/>
  <c r="R48" i="9" s="1"/>
  <c r="J48" i="9"/>
  <c r="K47" i="9"/>
  <c r="O47" i="9" s="1"/>
  <c r="R47" i="9" s="1"/>
  <c r="J47" i="9"/>
  <c r="K2" i="9"/>
  <c r="O2" i="9" s="1"/>
  <c r="R2" i="9" s="1"/>
  <c r="J2" i="9"/>
  <c r="K32" i="9"/>
  <c r="O32" i="9" s="1"/>
  <c r="R32" i="9" s="1"/>
  <c r="J32" i="9"/>
  <c r="K53" i="9"/>
  <c r="O53" i="9" s="1"/>
  <c r="R53" i="9" s="1"/>
  <c r="J53" i="9"/>
  <c r="K60" i="9"/>
  <c r="O60" i="9" s="1"/>
  <c r="R60" i="9" s="1"/>
  <c r="J60" i="9"/>
  <c r="K35" i="9"/>
  <c r="O35" i="9" s="1"/>
  <c r="R35" i="9" s="1"/>
  <c r="J35" i="9"/>
  <c r="K42" i="9"/>
  <c r="O42" i="9" s="1"/>
  <c r="R42" i="9" s="1"/>
  <c r="J42" i="9"/>
  <c r="K51" i="9"/>
  <c r="O51" i="9" s="1"/>
  <c r="R51" i="9" s="1"/>
  <c r="J51" i="9"/>
  <c r="K20" i="9"/>
  <c r="O20" i="9" s="1"/>
  <c r="R20" i="9" s="1"/>
  <c r="J20" i="9"/>
  <c r="K38" i="9"/>
  <c r="O38" i="9" s="1"/>
  <c r="R38" i="9" s="1"/>
  <c r="J38" i="9"/>
  <c r="K36" i="9"/>
  <c r="O36" i="9" s="1"/>
  <c r="R36" i="9" s="1"/>
  <c r="J36" i="9"/>
  <c r="K49" i="9"/>
  <c r="O49" i="9" s="1"/>
  <c r="R49" i="9" s="1"/>
  <c r="J49" i="9"/>
  <c r="K43" i="9"/>
  <c r="O43" i="9" s="1"/>
  <c r="R43" i="9" s="1"/>
  <c r="J43" i="9"/>
  <c r="K7" i="9"/>
  <c r="O7" i="9" s="1"/>
  <c r="R7" i="9" s="1"/>
  <c r="J7" i="9"/>
  <c r="K11" i="9"/>
  <c r="O11" i="9" s="1"/>
  <c r="R11" i="9" s="1"/>
  <c r="J11" i="9"/>
  <c r="K58" i="9"/>
  <c r="O58" i="9" s="1"/>
  <c r="R58" i="9" s="1"/>
  <c r="J58" i="9"/>
  <c r="K16" i="9"/>
  <c r="O16" i="9" s="1"/>
  <c r="R16" i="9" s="1"/>
  <c r="J16" i="9"/>
  <c r="K25" i="9"/>
  <c r="O25" i="9" s="1"/>
  <c r="R25" i="9" s="1"/>
  <c r="J25" i="9"/>
  <c r="K18" i="9"/>
  <c r="O18" i="9" s="1"/>
  <c r="R18" i="9" s="1"/>
  <c r="J18" i="9"/>
  <c r="K13" i="9"/>
  <c r="O13" i="9" s="1"/>
  <c r="R13" i="9" s="1"/>
  <c r="J13" i="9"/>
  <c r="K19" i="9"/>
  <c r="O19" i="9" s="1"/>
  <c r="R19" i="9" s="1"/>
  <c r="J19" i="9"/>
  <c r="K59" i="9"/>
  <c r="O59" i="9" s="1"/>
  <c r="R59" i="9" s="1"/>
  <c r="J59" i="9"/>
  <c r="K34" i="9"/>
  <c r="O34" i="9" s="1"/>
  <c r="R34" i="9" s="1"/>
  <c r="J34" i="9"/>
  <c r="K4" i="9"/>
  <c r="O4" i="9" s="1"/>
  <c r="R4" i="9" s="1"/>
  <c r="J4" i="9"/>
  <c r="K40" i="9"/>
  <c r="O40" i="9" s="1"/>
  <c r="R40" i="9" s="1"/>
  <c r="J40" i="9"/>
  <c r="K33" i="9"/>
  <c r="O33" i="9" s="1"/>
  <c r="R33" i="9" s="1"/>
  <c r="J33" i="9"/>
  <c r="K9" i="9"/>
  <c r="O9" i="9" s="1"/>
  <c r="R9" i="9" s="1"/>
  <c r="J9" i="9"/>
  <c r="K17" i="9"/>
  <c r="O17" i="9" s="1"/>
  <c r="R17" i="9" s="1"/>
  <c r="J17" i="9"/>
  <c r="K52" i="9"/>
  <c r="O52" i="9" s="1"/>
  <c r="R52" i="9" s="1"/>
  <c r="J52" i="9"/>
  <c r="K37" i="9"/>
  <c r="O37" i="9" s="1"/>
  <c r="R37" i="9" s="1"/>
  <c r="J37" i="9"/>
  <c r="K41" i="9"/>
  <c r="O41" i="9" s="1"/>
  <c r="R41" i="9" s="1"/>
  <c r="J41" i="9"/>
  <c r="K26" i="9"/>
  <c r="O26" i="9" s="1"/>
  <c r="R26" i="9" s="1"/>
  <c r="J26" i="9"/>
  <c r="K39" i="9"/>
  <c r="O39" i="9" s="1"/>
  <c r="R39" i="9" s="1"/>
  <c r="J39" i="9"/>
  <c r="K6" i="9"/>
  <c r="O6" i="9" s="1"/>
  <c r="R6" i="9" s="1"/>
  <c r="J6" i="9"/>
  <c r="K57" i="9"/>
  <c r="O57" i="9" s="1"/>
  <c r="R57" i="9" s="1"/>
  <c r="J57" i="9"/>
  <c r="L41" i="7"/>
  <c r="T41" i="7" s="1"/>
  <c r="U41" i="7" s="1"/>
  <c r="L40" i="7"/>
  <c r="T40" i="7" s="1"/>
  <c r="U40" i="7" s="1"/>
  <c r="L28" i="7"/>
  <c r="T28" i="7" s="1"/>
  <c r="U28" i="7" s="1"/>
  <c r="L53" i="7"/>
  <c r="T53" i="7" s="1"/>
  <c r="U53" i="7" s="1"/>
  <c r="L69" i="7"/>
  <c r="T69" i="7" s="1"/>
  <c r="U69" i="7" s="1"/>
  <c r="L55" i="7"/>
  <c r="T55" i="7" s="1"/>
  <c r="U55" i="7" s="1"/>
  <c r="B6" i="15"/>
  <c r="H6" i="15" s="1"/>
  <c r="I6" i="15" s="1"/>
  <c r="L21" i="7"/>
  <c r="T21" i="7" s="1"/>
  <c r="U21" i="7" s="1"/>
  <c r="L104" i="7"/>
  <c r="T104" i="7" s="1"/>
  <c r="U104" i="7" s="1"/>
  <c r="L72" i="7"/>
  <c r="T72" i="7" s="1"/>
  <c r="U72" i="7" s="1"/>
  <c r="L61" i="7"/>
  <c r="T61" i="7" s="1"/>
  <c r="U61" i="7" s="1"/>
  <c r="L103" i="7"/>
  <c r="T103" i="7" s="1"/>
  <c r="U103" i="7" s="1"/>
  <c r="L27" i="7"/>
  <c r="T27" i="7" s="1"/>
  <c r="U27" i="7" s="1"/>
  <c r="L20" i="7"/>
  <c r="T20" i="7" s="1"/>
  <c r="U20" i="7" s="1"/>
  <c r="L19" i="7"/>
  <c r="T19" i="7" s="1"/>
  <c r="U19" i="7" s="1"/>
  <c r="L54" i="7"/>
  <c r="T54" i="7" s="1"/>
  <c r="U54" i="7" s="1"/>
  <c r="B4" i="15"/>
  <c r="H4" i="15" s="1"/>
  <c r="I4" i="15" s="1"/>
  <c r="B7" i="15"/>
  <c r="H7" i="15" s="1"/>
  <c r="I7" i="15" s="1"/>
  <c r="B3" i="15"/>
  <c r="H3" i="15" s="1"/>
  <c r="I3" i="15" s="1"/>
  <c r="L56" i="7"/>
  <c r="T56" i="7" s="1"/>
  <c r="U56" i="7" s="1"/>
  <c r="L60" i="7"/>
  <c r="T60" i="7" s="1"/>
  <c r="U60" i="7" s="1"/>
  <c r="L18" i="7"/>
  <c r="T18" i="7" s="1"/>
  <c r="U18" i="7" s="1"/>
  <c r="L98" i="7"/>
  <c r="T98" i="7" s="1"/>
  <c r="U98" i="7" s="1"/>
  <c r="L58" i="7"/>
  <c r="T58" i="7" s="1"/>
  <c r="U58" i="7" s="1"/>
  <c r="L70" i="7"/>
  <c r="T70" i="7" s="1"/>
  <c r="U70" i="7" s="1"/>
  <c r="B5" i="15"/>
  <c r="H5" i="15" s="1"/>
  <c r="I5" i="15" s="1"/>
  <c r="B9" i="15"/>
  <c r="H9" i="15" s="1"/>
  <c r="I9" i="15" s="1"/>
  <c r="B8" i="15"/>
  <c r="H8" i="15" s="1"/>
  <c r="I8" i="15" s="1"/>
  <c r="L71" i="7"/>
  <c r="T71" i="7" s="1"/>
  <c r="U71" i="7" s="1"/>
  <c r="L96" i="7"/>
  <c r="T96" i="7" s="1"/>
  <c r="U96" i="7" s="1"/>
  <c r="L26" i="7"/>
  <c r="T26" i="7" s="1"/>
  <c r="U26" i="7" s="1"/>
  <c r="L62" i="7"/>
  <c r="T62" i="7" s="1"/>
  <c r="U62" i="7" s="1"/>
  <c r="L99" i="7"/>
  <c r="T99" i="7" s="1"/>
  <c r="U99" i="7" s="1"/>
  <c r="L59" i="7"/>
  <c r="T59" i="7" s="1"/>
  <c r="U59" i="7" s="1"/>
  <c r="L57" i="7"/>
  <c r="T57" i="7" s="1"/>
  <c r="U57" i="7" s="1"/>
  <c r="L102" i="7"/>
  <c r="T102" i="7" s="1"/>
  <c r="U102" i="7" s="1"/>
  <c r="B10" i="15"/>
  <c r="H10" i="15" s="1"/>
  <c r="I10" i="15" s="1"/>
  <c r="L97" i="7"/>
  <c r="T97" i="7" s="1"/>
  <c r="U97" i="7" s="1"/>
  <c r="E26" i="6" l="1"/>
  <c r="N81" i="9" s="1"/>
  <c r="E19" i="6"/>
  <c r="N82" i="9" s="1"/>
  <c r="E24" i="6"/>
  <c r="N84" i="9" s="1"/>
  <c r="E25" i="6"/>
  <c r="N85" i="9" s="1"/>
  <c r="E20" i="6"/>
  <c r="N83" i="9" s="1"/>
  <c r="E81" i="6"/>
  <c r="N10" i="9" s="1"/>
  <c r="E45" i="6"/>
  <c r="N56" i="9" s="1"/>
  <c r="E51" i="6"/>
  <c r="N60" i="9" s="1"/>
  <c r="E46" i="6"/>
  <c r="N55" i="9" s="1"/>
  <c r="E49" i="6"/>
  <c r="E48" i="6"/>
  <c r="E50" i="6"/>
  <c r="N59" i="9" s="1"/>
  <c r="E35" i="6"/>
  <c r="N18" i="9" s="1"/>
  <c r="E34" i="6"/>
  <c r="E79" i="6"/>
  <c r="N8" i="9" s="1"/>
  <c r="E80" i="6"/>
  <c r="N9" i="9" s="1"/>
  <c r="E12" i="6"/>
  <c r="N69" i="9" s="1"/>
  <c r="E22" i="6"/>
  <c r="N73" i="9" s="1"/>
  <c r="E44" i="6"/>
  <c r="N30" i="9" s="1"/>
  <c r="E27" i="6"/>
  <c r="N75" i="9" s="1"/>
  <c r="E53" i="6"/>
  <c r="N62" i="9" s="1"/>
  <c r="E68" i="6"/>
  <c r="E21" i="6"/>
  <c r="N72" i="9" s="1"/>
  <c r="E52" i="6"/>
  <c r="N63" i="9" s="1"/>
  <c r="E33" i="6"/>
  <c r="E42" i="6"/>
  <c r="N78" i="9" s="1"/>
  <c r="E63" i="6"/>
  <c r="N51" i="9" s="1"/>
  <c r="E43" i="6"/>
  <c r="N29" i="9" s="1"/>
  <c r="E11" i="6"/>
  <c r="N71" i="9" s="1"/>
  <c r="E40" i="6"/>
  <c r="E55" i="6"/>
  <c r="N64" i="9" s="1"/>
  <c r="E38" i="6"/>
  <c r="N77" i="9" s="1"/>
  <c r="E73" i="6"/>
  <c r="N31" i="9" s="1"/>
  <c r="E62" i="6"/>
  <c r="N48" i="9" s="1"/>
  <c r="E57" i="6"/>
  <c r="E67" i="6"/>
  <c r="N34" i="9" s="1"/>
  <c r="E69" i="6"/>
  <c r="E23" i="6"/>
  <c r="N74" i="9" s="1"/>
  <c r="E29" i="6"/>
  <c r="N22" i="9" s="1"/>
  <c r="E66" i="6"/>
  <c r="N36" i="9" s="1"/>
  <c r="E36" i="6"/>
  <c r="E14" i="6"/>
  <c r="N70" i="9" s="1"/>
  <c r="E9" i="6"/>
  <c r="E56" i="6"/>
  <c r="N33" i="9" s="1"/>
  <c r="E74" i="6"/>
  <c r="N38" i="9" s="1"/>
  <c r="E6" i="6"/>
  <c r="N24" i="9" s="1"/>
  <c r="E72" i="6"/>
  <c r="N35" i="9" s="1"/>
  <c r="E30" i="6"/>
  <c r="N21" i="9" s="1"/>
  <c r="E28" i="6"/>
  <c r="N76" i="9" s="1"/>
  <c r="E61" i="6"/>
  <c r="N80" i="9" s="1"/>
  <c r="E16" i="6"/>
  <c r="N67" i="9" s="1"/>
  <c r="E17" i="6"/>
  <c r="N66" i="9" s="1"/>
  <c r="E65" i="6"/>
  <c r="N79" i="9" s="1"/>
  <c r="E18" i="6"/>
  <c r="N86" i="9" s="1"/>
  <c r="E8" i="6"/>
  <c r="E39" i="6"/>
  <c r="N23" i="9" s="1"/>
  <c r="E7" i="6"/>
  <c r="E59" i="6"/>
  <c r="N53" i="9" s="1"/>
  <c r="E64" i="6"/>
  <c r="N49" i="9" s="1"/>
  <c r="E58" i="6"/>
  <c r="N50" i="9" s="1"/>
  <c r="E47" i="6"/>
  <c r="N87" i="9" s="1"/>
  <c r="E31" i="6"/>
  <c r="N45" i="9" s="1"/>
  <c r="E70" i="6"/>
  <c r="N37" i="9" s="1"/>
  <c r="E54" i="6"/>
  <c r="N61" i="9" s="1"/>
  <c r="E32" i="6"/>
  <c r="N44" i="9" s="1"/>
  <c r="E15" i="6"/>
  <c r="N65" i="9" s="1"/>
  <c r="E13" i="6"/>
  <c r="N68" i="9" s="1"/>
  <c r="E60" i="6"/>
  <c r="N52" i="9" s="1"/>
  <c r="N58" i="9" l="1"/>
  <c r="N57" i="9"/>
  <c r="N17" i="9"/>
  <c r="N19" i="9"/>
  <c r="N42" i="9"/>
  <c r="N39" i="9"/>
  <c r="N15" i="9"/>
  <c r="N6" i="9"/>
  <c r="N26" i="9"/>
  <c r="N32" i="9"/>
  <c r="N28" i="9"/>
  <c r="N13" i="9"/>
  <c r="N4" i="9"/>
  <c r="N16" i="9"/>
  <c r="N20" i="9"/>
  <c r="N5" i="9"/>
  <c r="N14" i="9"/>
  <c r="N46" i="9"/>
  <c r="N27" i="9"/>
  <c r="N25" i="9"/>
  <c r="N47" i="9"/>
  <c r="N40" i="9"/>
  <c r="N43" i="9"/>
  <c r="A2" i="17" l="1" a="1"/>
  <c r="A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tc={B9A0AFBE-46B9-40F3-8D95-D5602C6AB0A8}</author>
  </authors>
  <commentList>
    <comment ref="A20" authorId="0" shapeId="0" xr:uid="{B9A0AFBE-46B9-40F3-8D95-D5602C6AB0A8}">
      <text>
        <t>[Threaded comment]
Your version of Excel allows you to read this threaded comment; however, any edits to it will get removed if the file is opened in a newer version of Excel. Learn more: https://go.microsoft.com/fwlink/?linkid=870924
Comment:
    Make % of Application Annual Budget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Lyndal Ross</author>
  </authors>
  <commentList>
    <comment ref="B17" authorId="0" shapeId="0" xr:uid="{BA73E6CC-7EFE-40E2-8510-74823FA5D978}">
      <text>
        <r>
          <rPr>
            <sz val="9"/>
            <color indexed="81"/>
            <rFont val="Tahoma"/>
            <family val="2"/>
          </rPr>
          <t>How much data loss a company can experience within a period most relevant to its business before significant harm occurs, from the point of a disruptive event to the last data backup.</t>
        </r>
      </text>
    </comment>
    <comment ref="B18" authorId="0" shapeId="0" xr:uid="{E7406F5D-3B61-48A0-A1D8-AB20C45921AF}">
      <text>
        <r>
          <rPr>
            <sz val="9"/>
            <color indexed="81"/>
            <rFont val="Tahoma"/>
            <family val="2"/>
          </rPr>
          <t>The amount of time that an application, system and process can be down without causing significant damage to the business and the time spent restoring the application and its data to resume normal business operations after a significant incident.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<sst xmlns="http://schemas.openxmlformats.org/spreadsheetml/2006/main" count="3214" uniqueCount="687">
  <si>
    <r>
      <t xml:space="preserve">This tool is used to perform an application security assessment as defined in the </t>
    </r>
    <r>
      <rPr>
        <i/>
        <sz val="11"/>
        <color theme="1"/>
        <rFont val="Calibri"/>
        <family val="2"/>
        <scheme val="minor"/>
      </rPr>
      <t>Application Security Standard</t>
    </r>
    <r>
      <rPr>
        <sz val="11"/>
        <color theme="1"/>
        <rFont val="Calibri"/>
        <family val="2"/>
        <scheme val="minor"/>
      </rPr>
      <t xml:space="preserve"> and the </t>
    </r>
    <r>
      <rPr>
        <i/>
        <sz val="11"/>
        <color theme="1"/>
        <rFont val="Calibri"/>
        <family val="2"/>
        <scheme val="minor"/>
      </rPr>
      <t xml:space="preserve">Cyber Security Risk Management Procedure. </t>
    </r>
    <r>
      <rPr>
        <sz val="11"/>
        <color theme="1"/>
        <rFont val="Calibri"/>
        <family val="2"/>
        <scheme val="minor"/>
      </rPr>
      <t xml:space="preserve">The tool also records compliance with the </t>
    </r>
    <r>
      <rPr>
        <i/>
        <sz val="11"/>
        <color theme="1"/>
        <rFont val="Calibri"/>
        <family val="2"/>
        <scheme val="minor"/>
      </rPr>
      <t>Application Security Standard, IT service Continuity and DR Standard, and the Application Integration Standard</t>
    </r>
    <r>
      <rPr>
        <sz val="11"/>
        <color theme="1"/>
        <rFont val="Calibri"/>
        <family val="2"/>
        <scheme val="minor"/>
      </rPr>
      <t>.</t>
    </r>
  </si>
  <si>
    <t>Process steps:</t>
  </si>
  <si>
    <t>1. In the "Application Information" sheet records general information about the assessment and the application. This information is used to determine control requirements.</t>
  </si>
  <si>
    <t>2. Required controls are listed in the "Application Assessment" sheet, colour coded as follows:</t>
  </si>
  <si>
    <t>White</t>
  </si>
  <si>
    <t>Required control - enter status</t>
  </si>
  <si>
    <t>Grey</t>
  </si>
  <si>
    <t>This control is not required</t>
  </si>
  <si>
    <t>Red</t>
  </si>
  <si>
    <t>Required control missing</t>
  </si>
  <si>
    <t>Orange</t>
  </si>
  <si>
    <t>Required control only partially implemented</t>
  </si>
  <si>
    <t>Green</t>
  </si>
  <si>
    <t>Required control implemented</t>
  </si>
  <si>
    <t>Enter the status of required controls in the column labeled "Complies?" and where relavant for re-curring controls, the date that the control was last executed/reviewed.</t>
  </si>
  <si>
    <t>The contents of the "General Risks" sheet indicates risks arising from missing or partially implemented controls.</t>
  </si>
  <si>
    <t>3. Identify and list additional application-specific risks in the "Additional Risks" sheet.</t>
  </si>
  <si>
    <t>4. Once all the additional risks are identified, analyse each risk by filling in "Current Controls", "Current Likelihood", "Current Impact". If the "Managed Risk" rating is not already "Low", then identify and record "Additional Controls" and the associated "Target Likelihood", "Target Impact" to determine the "Target Risk" rating.</t>
  </si>
  <si>
    <t>5. Based on the general risks due to missing controls, and additional application-specific risks, develop a risk remediation plan which is recorded in the "Risk Remediation Plan" sheet.</t>
  </si>
  <si>
    <t>Definitions</t>
  </si>
  <si>
    <t>Implementation cost</t>
  </si>
  <si>
    <t>Low</t>
  </si>
  <si>
    <t>TCO over 5 years &lt;= $100K</t>
  </si>
  <si>
    <t>Medium</t>
  </si>
  <si>
    <t>TCO over 5 years &gt; $100K and &lt;= $500K</t>
  </si>
  <si>
    <t>High</t>
  </si>
  <si>
    <t>TCO over 5 years &gt; $500K and &lt; $1M</t>
  </si>
  <si>
    <t>Not feasible</t>
  </si>
  <si>
    <t>TCO over 5 years &gt; $1M</t>
  </si>
  <si>
    <t>Application Information</t>
  </si>
  <si>
    <t>personName</t>
  </si>
  <si>
    <t>Name of person doing the assessment</t>
  </si>
  <si>
    <t>assessDate</t>
  </si>
  <si>
    <t>Date of assessment</t>
  </si>
  <si>
    <t>appName</t>
  </si>
  <si>
    <t>Name of Application</t>
  </si>
  <si>
    <t>serviceviewID</t>
  </si>
  <si>
    <t>ServiceView Service ID</t>
  </si>
  <si>
    <t>tierDate</t>
  </si>
  <si>
    <t>Date of most recent Tiering Assessment</t>
  </si>
  <si>
    <t>confidentialHighest</t>
  </si>
  <si>
    <t>Highest confidentiality rating of data elements processed by the application</t>
  </si>
  <si>
    <t>SENSITIVE</t>
  </si>
  <si>
    <t>confidentialCount</t>
  </si>
  <si>
    <t>Number of confidential records held in or processed by the application</t>
  </si>
  <si>
    <t>1001 - 10,000</t>
  </si>
  <si>
    <t>exposureImpact</t>
  </si>
  <si>
    <t>Impact of unauthorised/accidental exposure of application data</t>
  </si>
  <si>
    <t>modifyImpact</t>
  </si>
  <si>
    <t>Impact of unauthorised/accidental modification of application data</t>
  </si>
  <si>
    <t>Minor (2)</t>
  </si>
  <si>
    <t>availabilityImpact</t>
  </si>
  <si>
    <t>Impact of loss of availability of the application for an extended period</t>
  </si>
  <si>
    <t>Moderate (3)</t>
  </si>
  <si>
    <t>userCount</t>
  </si>
  <si>
    <t>Number of application users</t>
  </si>
  <si>
    <t>availability</t>
  </si>
  <si>
    <t>Required availability</t>
  </si>
  <si>
    <t>RPO</t>
  </si>
  <si>
    <t>Recovery point objective (RPO)</t>
  </si>
  <si>
    <t>RTO</t>
  </si>
  <si>
    <t xml:space="preserve">Recovery time objective (RTO) </t>
  </si>
  <si>
    <t>dependentCount</t>
  </si>
  <si>
    <t>Number of dependent IT services</t>
  </si>
  <si>
    <t>appDelivery</t>
  </si>
  <si>
    <t>Application delivery</t>
  </si>
  <si>
    <t>software</t>
  </si>
  <si>
    <t>Software</t>
  </si>
  <si>
    <t>clientType</t>
  </si>
  <si>
    <t>Type of Client</t>
  </si>
  <si>
    <t>hosting</t>
  </si>
  <si>
    <t>Hosting</t>
  </si>
  <si>
    <t>integrations</t>
  </si>
  <si>
    <t>The application has integrations with other applications (excluding UQ Authenticate)</t>
  </si>
  <si>
    <t>legalReqs</t>
  </si>
  <si>
    <t>Do any specific legal or regulatory requirements apply to the application?</t>
  </si>
  <si>
    <t>docLink</t>
  </si>
  <si>
    <t>Link to documentation</t>
  </si>
  <si>
    <t>Application Tier and Classifications</t>
  </si>
  <si>
    <t>confidentialityClass</t>
  </si>
  <si>
    <t>Confidentiality Classification</t>
  </si>
  <si>
    <t>integrityClass</t>
  </si>
  <si>
    <t>Integrity Classification</t>
  </si>
  <si>
    <t>availabilityClass</t>
  </si>
  <si>
    <t>Availability Classification</t>
  </si>
  <si>
    <t>appTier</t>
  </si>
  <si>
    <t>Tier</t>
  </si>
  <si>
    <t>General Controls</t>
  </si>
  <si>
    <t>Control Group</t>
  </si>
  <si>
    <t>Control Name</t>
  </si>
  <si>
    <t>Control Description</t>
  </si>
  <si>
    <t>Related Standard</t>
  </si>
  <si>
    <t>Required?</t>
  </si>
  <si>
    <t>Complies?</t>
  </si>
  <si>
    <t>Date Implemented/Reviewed</t>
  </si>
  <si>
    <t>Cost of Implementation</t>
  </si>
  <si>
    <t>Notes</t>
  </si>
  <si>
    <t>Actions</t>
  </si>
  <si>
    <t>ControlID</t>
  </si>
  <si>
    <t>Access and Privileges</t>
  </si>
  <si>
    <t>Access and privileges management policy</t>
  </si>
  <si>
    <t>An access and privileges management policy has been documented that defines who has access to the application and to what features and information within the application.</t>
  </si>
  <si>
    <t>Access and Privileges Management Framework</t>
  </si>
  <si>
    <t>AP01</t>
  </si>
  <si>
    <t>Access control</t>
  </si>
  <si>
    <t>Access to the application is restricted to authorised users according to the access and privileges management policy.</t>
  </si>
  <si>
    <t>AP02</t>
  </si>
  <si>
    <t>Privileges management</t>
  </si>
  <si>
    <t>Access to application features and information by authorised users is restricted according to the access and privileges management policy.</t>
  </si>
  <si>
    <t>AP03</t>
  </si>
  <si>
    <t>Separation of duties</t>
  </si>
  <si>
    <t>Multiple privileged users are required to complete a high-risk actions in the application.</t>
  </si>
  <si>
    <t>AP04</t>
  </si>
  <si>
    <t>User access audit (annual) or automated access and privileges management</t>
  </si>
  <si>
    <t>An audit of application users to delete inactive accounts and adjust privileges as needed is conducted annually unless access and privileges management is fully automated.</t>
  </si>
  <si>
    <t>AP05</t>
  </si>
  <si>
    <t>User access audit (bi-annual) or automated access and privileges management</t>
  </si>
  <si>
    <t>An audit of application users to delete inactive accounts and adjust privileges as needed is conducted bi-annually unless access and privileges management is fully automated.</t>
  </si>
  <si>
    <t>AP06</t>
  </si>
  <si>
    <t>User access audit (quarterly) or automated access and privileges management</t>
  </si>
  <si>
    <t>An audit of application users to delete inactive accounts and adjust privileges as needed is conducted quarterly unless access and privileges management is fully automated.</t>
  </si>
  <si>
    <t>AP07</t>
  </si>
  <si>
    <t>Web application SSO</t>
  </si>
  <si>
    <r>
      <t>Use of the UQ single sign-on web-based authentication service (</t>
    </r>
    <r>
      <rPr>
        <i/>
        <sz val="11"/>
        <color theme="1"/>
        <rFont val="Calibri"/>
        <family val="2"/>
        <scheme val="minor"/>
      </rPr>
      <t>UQ Authenticate</t>
    </r>
    <r>
      <rPr>
        <sz val="11"/>
        <color theme="1"/>
        <rFont val="Calibri"/>
        <family val="2"/>
        <scheme val="minor"/>
      </rPr>
      <t>) to authenticate users.</t>
    </r>
  </si>
  <si>
    <t>AP08</t>
  </si>
  <si>
    <t>Availability</t>
  </si>
  <si>
    <t>Diverse hosting</t>
  </si>
  <si>
    <t>The application is hosted on nodes in multiple data centres that have no common failure points such that the application can function after the loss of a single data centre.</t>
  </si>
  <si>
    <t>AV01</t>
  </si>
  <si>
    <t>Failover testing</t>
  </si>
  <si>
    <t>Testing to ensure that automatic failover processes work as expected, conducted annually.</t>
  </si>
  <si>
    <t>AV02</t>
  </si>
  <si>
    <t>Failover testing (6 months)</t>
  </si>
  <si>
    <t>Testing to ensure that automatic failover processes work as expected, conducted at least every 6 months.</t>
  </si>
  <si>
    <t>AV03</t>
  </si>
  <si>
    <t>Full capacity on failover</t>
  </si>
  <si>
    <t>Sufficient infrastructure resources are deployed to ensure that the loss of a single data centre results in no loss of performance or capacity. </t>
  </si>
  <si>
    <t>AV04</t>
  </si>
  <si>
    <t>High availability (16 hours unscheduled downtime)</t>
  </si>
  <si>
    <t>Sufficient redundancy and automatic failover processes must be in place to achieve the required level of availability (Less than 16 hours of unscheduled outages per annum).</t>
  </si>
  <si>
    <t>AV05</t>
  </si>
  <si>
    <t>High availability (4 hours unscheduled downtime)</t>
  </si>
  <si>
    <t>Sufficient redundancy and automatic failover processes must be in place to achieve the required level of availability (Less than 4 hours of unscheduled outages per annum).</t>
  </si>
  <si>
    <t>AV06</t>
  </si>
  <si>
    <t>High availability (8 hours unscheduled downtime)</t>
  </si>
  <si>
    <t>Sufficient redundancy and automatic failover processes must be in place to achieve the required level of availability (Less than 8 hours of unscheduled outages per annum).</t>
  </si>
  <si>
    <t>AV07</t>
  </si>
  <si>
    <t>Load testing</t>
  </si>
  <si>
    <t>Load testing of the service is performed to ensure that the service has sufficient capacity to handle peak loads, conducted during onboarding and after significant updates.</t>
  </si>
  <si>
    <t>AV08</t>
  </si>
  <si>
    <t>Operating documentation</t>
  </si>
  <si>
    <t xml:space="preserve">All critical maintenance tasks for the service must be documented and a copy stored in an authorised DR documentation location.  </t>
  </si>
  <si>
    <t>AV12</t>
  </si>
  <si>
    <t>Out-of-hours support</t>
  </si>
  <si>
    <t>On-call arrangements for the service must be in place in the event of a disaster or other disruptive event for the service.</t>
  </si>
  <si>
    <t>AV13</t>
  </si>
  <si>
    <t>Recovery procedure</t>
  </si>
  <si>
    <t>The application has a documented recovery procedure.</t>
  </si>
  <si>
    <t>AV09</t>
  </si>
  <si>
    <t>Recovery procedure review</t>
  </si>
  <si>
    <t>The recovery procedure for the application is reviewed annually.</t>
  </si>
  <si>
    <t>AV10</t>
  </si>
  <si>
    <t>Recovery procedure testing</t>
  </si>
  <si>
    <t>The recovery procedure for the application is tested annually.</t>
  </si>
  <si>
    <t>AV11</t>
  </si>
  <si>
    <t>Remote operation</t>
  </si>
  <si>
    <t>Ensure that wherever possible, critical maintenance tasks for the service can be performed remotely.</t>
  </si>
  <si>
    <t>AV14</t>
  </si>
  <si>
    <t>Resilient operations</t>
  </si>
  <si>
    <t xml:space="preserve">More than one staff must have sufficient skills, knowledge and access to operate the service or each component of the service. </t>
  </si>
  <si>
    <t>AV15</t>
  </si>
  <si>
    <t>Third-party support</t>
  </si>
  <si>
    <t>If the service depends on a vendor or 3rd party to function, they must have BCP and DR plans that the vendor reviews and tests annually.</t>
  </si>
  <si>
    <t>AV16</t>
  </si>
  <si>
    <t>Data</t>
  </si>
  <si>
    <t>Data backup</t>
  </si>
  <si>
    <t>Application data is backed up regularly and copies held at geographically distinct locations.</t>
  </si>
  <si>
    <t>Data Security Controls Standard</t>
  </si>
  <si>
    <t>DT01</t>
  </si>
  <si>
    <t>Data restoration testing</t>
  </si>
  <si>
    <t>An annual check is performed to ensure that application data can be restored from backups.</t>
  </si>
  <si>
    <t>DT02</t>
  </si>
  <si>
    <t>Data purging and archival</t>
  </si>
  <si>
    <t>Application data is deleted or archived according to the data retention policy at least annually, or via an automated process.</t>
  </si>
  <si>
    <t>DT04</t>
  </si>
  <si>
    <t>Data retention policy</t>
  </si>
  <si>
    <t>A data retention policy for the application has been defined, indicating deletion and archival periods for data not retained for the life of the application, considering business and legal requirements and risk of exposure.</t>
  </si>
  <si>
    <t>DT03</t>
  </si>
  <si>
    <t>Encryption at rest</t>
  </si>
  <si>
    <t>Encryption of confidential information while it is held in persistent storage.</t>
  </si>
  <si>
    <t>DT05</t>
  </si>
  <si>
    <t>Encryption of client traffic</t>
  </si>
  <si>
    <t>Encryption of traffic between between the application servers and the client. For web traffic, use of TLS 1.2 or higher must be enforced.</t>
  </si>
  <si>
    <t>DT06</t>
  </si>
  <si>
    <t>Detection and Response</t>
  </si>
  <si>
    <t>Application security logging</t>
  </si>
  <si>
    <t xml:space="preserve">User activity and application software security logs are generated, stored and retained to enable incident forensics and automated security monitoring. </t>
  </si>
  <si>
    <t>DR01</t>
  </si>
  <si>
    <t>Application software security monitoring</t>
  </si>
  <si>
    <t>Relevant application software logs are continuously monitored to detect potential security compromises.</t>
  </si>
  <si>
    <t>DR03</t>
  </si>
  <si>
    <t>Security monitoring of all users</t>
  </si>
  <si>
    <t>All user connection and activity logs are continuously monitored to detect potential security compromises, including administrative, privileged and normal users.</t>
  </si>
  <si>
    <t>DR04</t>
  </si>
  <si>
    <t>Security monitoring of privileged users</t>
  </si>
  <si>
    <t>Administrative and privileged user connection and activity logs are continuously monitored to detect potential security compromises.</t>
  </si>
  <si>
    <t>DR05</t>
  </si>
  <si>
    <t>General Management</t>
  </si>
  <si>
    <t>Application registration</t>
  </si>
  <si>
    <t>Recording the application in a central registry with associated information including business and technical owners, information security classification, type of application, supplier details, legal requirements, and security controls compliance information.</t>
  </si>
  <si>
    <t>https://serviceview.its.uq.edu.au/</t>
  </si>
  <si>
    <t>GM01</t>
  </si>
  <si>
    <t>Change management</t>
  </si>
  <si>
    <t>All significant changes to the application must be performed according to the change management procedure.</t>
  </si>
  <si>
    <t>GM02</t>
  </si>
  <si>
    <t>User Training</t>
  </si>
  <si>
    <t>Users of the application receive sufficient training to mitigate the risk of errors.</t>
  </si>
  <si>
    <t>GM03</t>
  </si>
  <si>
    <t>Secure hosting</t>
  </si>
  <si>
    <t>The application is hosted on properly secured infrastructure.</t>
  </si>
  <si>
    <t>Endpoint Security Standard</t>
  </si>
  <si>
    <t>HO01</t>
  </si>
  <si>
    <t>Secure non-production environments</t>
  </si>
  <si>
    <t xml:space="preserve">1. Network connectivity to non-production environments hosted on the UQ network (including private clouds) is only available from UQ networks.
2. Access to non-production environments is restricted to staff who require it for development and testing. 
3. Where feasible, non-production environments should not process confidential production data. 
4. If production data is held in test environments, then they must be treated the same as a production environment with respect to security controls. </t>
  </si>
  <si>
    <t>HO02</t>
  </si>
  <si>
    <t>Separate environments for development, testing, staging and operations</t>
  </si>
  <si>
    <t>The application has test, development and staging environments that are suitably segregated from the production version of the application.</t>
  </si>
  <si>
    <t>HO03</t>
  </si>
  <si>
    <t>Server host-based firewalling</t>
  </si>
  <si>
    <t>Software running on the server to provide stateful, network-layer firewalling.</t>
  </si>
  <si>
    <t>HO04</t>
  </si>
  <si>
    <t>Server workload protection</t>
  </si>
  <si>
    <t>Software running on the server workload (physical, virtual or container) to protect against cyber attacks.</t>
  </si>
  <si>
    <t>HO05</t>
  </si>
  <si>
    <t>Integration</t>
  </si>
  <si>
    <t>Access to integration data restricted</t>
  </si>
  <si>
    <t>Access to any intermediate locations or systems where integration data is stored is restricted to the minimum required for functioning and management of the integration, and suitable controls are in place to prevent unauthorised access.</t>
  </si>
  <si>
    <t>Application Integration Security Standard</t>
  </si>
  <si>
    <t>IN01</t>
  </si>
  <si>
    <t>Intermediate integration data deleted</t>
  </si>
  <si>
    <t>Any integration data stored in intermediate locations or systems is deleted after use or at regular intervals.</t>
  </si>
  <si>
    <t>IN02</t>
  </si>
  <si>
    <t>Integrations compliant with data integration architecture</t>
  </si>
  <si>
    <t>All integrations are via the UQ data hub or Central Integration Platform unless an exception has been approved by the ITS Integration Services team.</t>
  </si>
  <si>
    <t>IN03</t>
  </si>
  <si>
    <t>Integration data protected in transit</t>
  </si>
  <si>
    <t>All integration data is encrypted in transit across networks and  SENSITIVE/PROTECTED integration data stored in intermediate locations or systems is encrypted at rest. Controls are in place to ensure that the reciever can verify that data has not been modified during transit across networks (data integrity).</t>
  </si>
  <si>
    <t>IN04</t>
  </si>
  <si>
    <t>Integrations registered</t>
  </si>
  <si>
    <t>All coded integrations are recorded in the application integration register.</t>
  </si>
  <si>
    <t>IN05</t>
  </si>
  <si>
    <t>Least privilege integration accounts</t>
  </si>
  <si>
    <t>Application accounts used by integrations have the minimum required privileges to function.</t>
  </si>
  <si>
    <t>IN06</t>
  </si>
  <si>
    <t>Strong integration credentials</t>
  </si>
  <si>
    <t xml:space="preserve">Integrations are authenticated using a random password of at least 14 characters or a key of equivalent or greater strength. Credentials are rotated at least every 2 years. </t>
  </si>
  <si>
    <t>IN07</t>
  </si>
  <si>
    <t>Monitoring and Alerts</t>
  </si>
  <si>
    <t>24 by 7 intrusive alerts</t>
  </si>
  <si>
    <t>The application and associated infrastructure is monitored continuously, and alerts sent via an intrusive channel such as SMS to support staff when a failure is detected.</t>
  </si>
  <si>
    <t>MA01</t>
  </si>
  <si>
    <t>Business hours intrusive alerts</t>
  </si>
  <si>
    <t>The application and associated infrastructure is monitored continuously, and alerts sent via an intrusive channel such as SMS to support staff when a failure is detected during business hours or at the start of the next business day if outside business hours.</t>
  </si>
  <si>
    <t>MA02</t>
  </si>
  <si>
    <t>Non-intrusive alerts</t>
  </si>
  <si>
    <t>The application and associated infrastructure is monitored continuously, and alerts sent via a non-intrusive channel such as email to support staff when a failure is detected.</t>
  </si>
  <si>
    <t>MA03</t>
  </si>
  <si>
    <t>Operational monitoring</t>
  </si>
  <si>
    <t>Continuous monitoring of applications and infrastructure components used to deliver the applications for performance, resource-use and failures. For externally managed applications, infrastructure components are not monitored.</t>
  </si>
  <si>
    <t>MA04</t>
  </si>
  <si>
    <t>Network controls</t>
  </si>
  <si>
    <t>Application firewalling</t>
  </si>
  <si>
    <t xml:space="preserve">Application-layer characteristics are used to firewall traffic between clients and the application. </t>
  </si>
  <si>
    <t>Network Security Controls Standard</t>
  </si>
  <si>
    <t>NC01</t>
  </si>
  <si>
    <t>Network segregation and firewalling</t>
  </si>
  <si>
    <t>Infrastructure or high-level functional components  of the application such as web, application and database servers are segregated into separate logical security zones and firewalling is in place for each security zone to restrict traffic flows to only those that are required.</t>
  </si>
  <si>
    <t>NC02</t>
  </si>
  <si>
    <t>Third Party Risk</t>
  </si>
  <si>
    <t>Basic security assessment (procurement)</t>
  </si>
  <si>
    <t>A less rigorous security assessment conducted during procurement of a low-risk externally managed application to determine if the application meets UQ's security requirements and, if so, identifies any risks that need to be managed during procurement, onboarding and operation of the application.</t>
  </si>
  <si>
    <t>TP01</t>
  </si>
  <si>
    <t>Contract audit (2 years)</t>
  </si>
  <si>
    <t>Compliance with security obligations in the service contract, including checking security certifications and penetration testing summary reports, are validated at least every 2 years.</t>
  </si>
  <si>
    <t>TP02</t>
  </si>
  <si>
    <t>Contract audit (annual)</t>
  </si>
  <si>
    <t>Compliance with security obligations in the service contract, including checking security certifications and penetration testing summary reports, are validated at least annually.</t>
  </si>
  <si>
    <t>TP03</t>
  </si>
  <si>
    <t>Managed application procurement availability requirements</t>
  </si>
  <si>
    <t>Non-functional procurement requirements for managed applications that specify the minimum level of offered availability that is acceptable.</t>
  </si>
  <si>
    <t>TP04</t>
  </si>
  <si>
    <t>Managed application procurement security requirements</t>
  </si>
  <si>
    <t>Non-functional procurement requirements for managed applications to ensure appropriate security controls are in place.</t>
  </si>
  <si>
    <t>TP05</t>
  </si>
  <si>
    <t>Managed application security contract inclusions</t>
  </si>
  <si>
    <t>Inclusions in the service contract binding the service provider to protect UQ's data, ensure effective incident response, and meet UQ's security and privacy obligations.</t>
  </si>
  <si>
    <t>TP06</t>
  </si>
  <si>
    <t>Security assessment (procurement)</t>
  </si>
  <si>
    <t>A security assessment conducted during procurement of an externally managed application to determine if the application meets UQ's security requirements and, if so, identifies any risks that need to be managed during procurement, onboarding and operation of the application.</t>
  </si>
  <si>
    <t>TP07</t>
  </si>
  <si>
    <t>Service availability contract inclusions</t>
  </si>
  <si>
    <t>Inclusions in the service contract binding the service provider to deliver a defined level of service availability.</t>
  </si>
  <si>
    <t>TP08</t>
  </si>
  <si>
    <t>Software procurement security requirements</t>
  </si>
  <si>
    <t>Non-functional procurement requirements for software to ensure appropriate security controls are in place.</t>
  </si>
  <si>
    <t>TP09</t>
  </si>
  <si>
    <t>Vulnerability management</t>
  </si>
  <si>
    <t>Patch management</t>
  </si>
  <si>
    <t>Applying modifications (patches) to software to resolve known security vulnerabilities.</t>
  </si>
  <si>
    <t>Patch Management Procedure</t>
  </si>
  <si>
    <t>VM01</t>
  </si>
  <si>
    <t>Penetration testing (annual)</t>
  </si>
  <si>
    <t>Penetration testing must be conducted prior to deployment, when significant changes have been made to the application, and at least annually during periods in which incremental changes are made to the application.</t>
  </si>
  <si>
    <t>Software Vulnerability Management Framework</t>
  </si>
  <si>
    <t>VM09</t>
  </si>
  <si>
    <t>Penetration testing (2 years)</t>
  </si>
  <si>
    <t>Penetration testing must be conducted prior to deployment, when significant changes have been made to the application, and at least every two years during periods in which incremental changes are made to the application.</t>
  </si>
  <si>
    <t>VM02</t>
  </si>
  <si>
    <t>Secure software development</t>
  </si>
  <si>
    <t>Software development practises that minimise the risk of security vulnerabilities.</t>
  </si>
  <si>
    <t>Secure Software Development Framework</t>
  </si>
  <si>
    <t>VM04</t>
  </si>
  <si>
    <t>Security hardened configuration</t>
  </si>
  <si>
    <t>Software components are configured according to the vendor's or best practise recommendations for minimising security risks including disabling insecure features and enabling software security controls.</t>
  </si>
  <si>
    <t>- Vendor deployment guides
- Software configuration guides and standards</t>
  </si>
  <si>
    <t>VM05</t>
  </si>
  <si>
    <t>Security support</t>
  </si>
  <si>
    <t>Suitable licensing or agreements are in place with the software vendor to provide security patches or if the software is open-source, it is being actively updated (the last update is no older than 3 months).</t>
  </si>
  <si>
    <t>VM06</t>
  </si>
  <si>
    <t>Vulnerability scanning</t>
  </si>
  <si>
    <t>Scanning of applications to detect known software vulnerabilities.</t>
  </si>
  <si>
    <t>VM07</t>
  </si>
  <si>
    <t>Web application scanning</t>
  </si>
  <si>
    <t>Scanning of application web pages to detect security vulnerabilities.</t>
  </si>
  <si>
    <t>VM08</t>
  </si>
  <si>
    <t>Compensatory controls</t>
  </si>
  <si>
    <t>Compensatory Controls</t>
  </si>
  <si>
    <t>Network access restricted to UQ networks</t>
  </si>
  <si>
    <t>Network connections to the application are restricted to trusted UQ networks.</t>
  </si>
  <si>
    <t>CC01</t>
  </si>
  <si>
    <t>Network access restricted to UQ users</t>
  </si>
  <si>
    <t>Network connections to the application are only possible once the user has authenticated using the UQ Web SSO.</t>
  </si>
  <si>
    <t>CC02</t>
  </si>
  <si>
    <t>Network access restricted to UQ users and UQ managed devices</t>
  </si>
  <si>
    <t>Network connections to the application are only possible once the user has authenticated using the UQ Web SSO and are restricted to UQ managed devices.</t>
  </si>
  <si>
    <t>CC03</t>
  </si>
  <si>
    <t>Risk ID</t>
  </si>
  <si>
    <t>Description</t>
  </si>
  <si>
    <t>Impact Type</t>
  </si>
  <si>
    <t>Likelihood</t>
  </si>
  <si>
    <t xml:space="preserve">Likelihood if partial control </t>
  </si>
  <si>
    <t>Impact Modifier</t>
  </si>
  <si>
    <t>Impact Score</t>
  </si>
  <si>
    <t>Partial control</t>
  </si>
  <si>
    <t>Calculated Likelihood</t>
  </si>
  <si>
    <t>Calculated Impact</t>
  </si>
  <si>
    <t>Risk Rating</t>
  </si>
  <si>
    <t>Control ID</t>
  </si>
  <si>
    <t>Missing Control</t>
  </si>
  <si>
    <t>Control in place if required</t>
  </si>
  <si>
    <t>Priority</t>
  </si>
  <si>
    <t>Sort</t>
  </si>
  <si>
    <t>List any additional cyber security risks specific to this application below</t>
  </si>
  <si>
    <t>Current Controls</t>
  </si>
  <si>
    <t>Managed Likelihood</t>
  </si>
  <si>
    <t>Managed Impact</t>
  </si>
  <si>
    <t>Managed Risk</t>
  </si>
  <si>
    <t>Additonal Controls</t>
  </si>
  <si>
    <t>Target Likelihood</t>
  </si>
  <si>
    <t>Target Impact</t>
  </si>
  <si>
    <t>Target Risk</t>
  </si>
  <si>
    <t>Implementation Cost</t>
  </si>
  <si>
    <t>Confidentiality</t>
  </si>
  <si>
    <t>Impact Rating</t>
  </si>
  <si>
    <t>Max Impact Score</t>
  </si>
  <si>
    <t>CIA</t>
  </si>
  <si>
    <t>Score</t>
  </si>
  <si>
    <t>UNOFFICIAL</t>
  </si>
  <si>
    <t>Insignificant (1)</t>
  </si>
  <si>
    <t>Tier 3</t>
  </si>
  <si>
    <t>PUBLIC</t>
  </si>
  <si>
    <t>MINOR (INT)</t>
  </si>
  <si>
    <t>MINOR (AV)</t>
  </si>
  <si>
    <t>Integrity</t>
  </si>
  <si>
    <t>OFFICIAL</t>
  </si>
  <si>
    <t>Tier 2</t>
  </si>
  <si>
    <t>MODERATE (INT)</t>
  </si>
  <si>
    <t>MODERATE (AV)</t>
  </si>
  <si>
    <t>Major (4)</t>
  </si>
  <si>
    <t>Tier 1</t>
  </si>
  <si>
    <t>MAJOR (INT)</t>
  </si>
  <si>
    <t>MAJOR (AV)</t>
  </si>
  <si>
    <t>Max</t>
  </si>
  <si>
    <t>PROTECTED</t>
  </si>
  <si>
    <t>Critical (5)</t>
  </si>
  <si>
    <t>Tier 0</t>
  </si>
  <si>
    <t>CRITICAL (INT)</t>
  </si>
  <si>
    <t>CRITICAL (AV)</t>
  </si>
  <si>
    <t>Max CI</t>
  </si>
  <si>
    <t>Infrastructure</t>
  </si>
  <si>
    <t>Risk Owner</t>
  </si>
  <si>
    <t>Approved by</t>
  </si>
  <si>
    <t>Date of Approval</t>
  </si>
  <si>
    <t>Control</t>
  </si>
  <si>
    <t>Action</t>
  </si>
  <si>
    <t>Assigned to</t>
  </si>
  <si>
    <t>Project/Job ID</t>
  </si>
  <si>
    <t>Status</t>
  </si>
  <si>
    <t>ETA</t>
  </si>
  <si>
    <r>
      <rPr>
        <b/>
        <sz val="11.5"/>
        <color rgb="FFFFFFFF"/>
        <rFont val="Arial"/>
        <family val="2"/>
      </rPr>
      <t xml:space="preserve">Consequence Rating Table
</t>
    </r>
    <r>
      <rPr>
        <sz val="8"/>
        <color rgb="FFFFFFFF"/>
        <rFont val="Arial"/>
        <family val="2"/>
      </rPr>
      <t>(Where there are multiple types of impacts, use the highest rating for scoring risk)</t>
    </r>
  </si>
  <si>
    <r>
      <rPr>
        <b/>
        <sz val="8"/>
        <rFont val="Arial"/>
        <family val="2"/>
      </rPr>
      <t>IMPACT TYPE:</t>
    </r>
  </si>
  <si>
    <r>
      <rPr>
        <sz val="8"/>
        <rFont val="Arial"/>
        <family val="2"/>
      </rPr>
      <t>INSIGNIFICANT</t>
    </r>
  </si>
  <si>
    <r>
      <rPr>
        <sz val="8"/>
        <rFont val="Arial"/>
        <family val="2"/>
      </rPr>
      <t>MINOR</t>
    </r>
  </si>
  <si>
    <r>
      <rPr>
        <sz val="8"/>
        <rFont val="Arial"/>
        <family val="2"/>
      </rPr>
      <t>MODERATE</t>
    </r>
  </si>
  <si>
    <r>
      <rPr>
        <sz val="8"/>
        <rFont val="Arial"/>
        <family val="2"/>
      </rPr>
      <t>MAJOR</t>
    </r>
  </si>
  <si>
    <r>
      <rPr>
        <sz val="8"/>
        <rFont val="Arial"/>
        <family val="2"/>
      </rPr>
      <t xml:space="preserve">CRITICAL
</t>
    </r>
    <r>
      <rPr>
        <sz val="7"/>
        <rFont val="Arial"/>
        <family val="2"/>
      </rPr>
      <t>(potential RAS breach within 1 year)</t>
    </r>
  </si>
  <si>
    <r>
      <rPr>
        <b/>
        <sz val="8"/>
        <rFont val="Arial"/>
        <family val="2"/>
      </rPr>
      <t xml:space="preserve">HEALTH AND SAFETY
</t>
    </r>
    <r>
      <rPr>
        <sz val="7"/>
        <rFont val="Arial"/>
        <family val="2"/>
      </rPr>
      <t>Physical &amp; Psychosocial</t>
    </r>
  </si>
  <si>
    <t>Near miss event.
No first aid or medical treatment required.</t>
  </si>
  <si>
    <r>
      <rPr>
        <sz val="8"/>
        <rFont val="Wingdings"/>
        <charset val="2"/>
      </rPr>
      <t></t>
    </r>
    <r>
      <rPr>
        <sz val="8"/>
        <rFont val="Arial"/>
        <family val="2"/>
      </rPr>
      <t>First Aid injury or illness.</t>
    </r>
  </si>
  <si>
    <r>
      <rPr>
        <sz val="8"/>
        <rFont val="Wingdings"/>
        <charset val="2"/>
      </rPr>
      <t></t>
    </r>
    <r>
      <rPr>
        <sz val="8"/>
        <rFont val="Arial"/>
        <family val="2"/>
      </rPr>
      <t xml:space="preserve">Injury or illness requiring medical intervention or treatment.
</t>
    </r>
    <r>
      <rPr>
        <sz val="8"/>
        <rFont val="Wingdings"/>
        <charset val="2"/>
      </rPr>
      <t></t>
    </r>
    <r>
      <rPr>
        <sz val="8"/>
        <rFont val="Arial"/>
        <family val="2"/>
      </rPr>
      <t>Reversible, temporary impairment.</t>
    </r>
  </si>
  <si>
    <r>
      <rPr>
        <sz val="8"/>
        <rFont val="Wingdings"/>
        <charset val="2"/>
      </rPr>
      <t></t>
    </r>
    <r>
      <rPr>
        <sz val="8"/>
        <rFont val="Arial"/>
        <family val="2"/>
      </rPr>
      <t xml:space="preserve">Serious injury or illness requiring hospitalisation.
</t>
    </r>
    <r>
      <rPr>
        <sz val="8"/>
        <rFont val="Wingdings"/>
        <charset val="2"/>
      </rPr>
      <t></t>
    </r>
    <r>
      <rPr>
        <sz val="8"/>
        <rFont val="Arial"/>
        <family val="2"/>
      </rPr>
      <t>Ongoing impairment with functional restriction.</t>
    </r>
  </si>
  <si>
    <r>
      <rPr>
        <sz val="8"/>
        <rFont val="Wingdings"/>
        <charset val="2"/>
      </rPr>
      <t></t>
    </r>
    <r>
      <rPr>
        <sz val="8"/>
        <rFont val="Arial"/>
        <family val="2"/>
      </rPr>
      <t xml:space="preserve">Permanent impairment with significant functional restriction.
</t>
    </r>
    <r>
      <rPr>
        <sz val="8"/>
        <rFont val="Wingdings"/>
        <charset val="2"/>
      </rPr>
      <t></t>
    </r>
    <r>
      <rPr>
        <sz val="8"/>
        <rFont val="Arial"/>
        <family val="2"/>
      </rPr>
      <t>Fatality / fatalities.</t>
    </r>
  </si>
  <si>
    <r>
      <rPr>
        <b/>
        <sz val="8"/>
        <rFont val="Arial"/>
        <family val="2"/>
      </rPr>
      <t>CULTURE / UQ VALUES</t>
    </r>
  </si>
  <si>
    <r>
      <rPr>
        <sz val="8"/>
        <rFont val="Arial"/>
        <family val="2"/>
      </rPr>
      <t>Some non-supervisory staff unaware of and/or their behaviour occasionally inconsistent with UQ Values, Code of Conduct, and/or local safety procedures.</t>
    </r>
  </si>
  <si>
    <r>
      <rPr>
        <sz val="8"/>
        <rFont val="Arial"/>
        <family val="2"/>
      </rPr>
      <t>Middle management not appropriately responding to staff behaviour that is inconsistent with UQ Values, Code of Conduct and/or safety procedures.</t>
    </r>
  </si>
  <si>
    <r>
      <rPr>
        <sz val="8"/>
        <rFont val="Wingdings"/>
        <charset val="2"/>
      </rPr>
      <t></t>
    </r>
    <r>
      <rPr>
        <sz val="8"/>
        <rFont val="Arial"/>
        <family val="2"/>
      </rPr>
      <t xml:space="preserve">Noticeable reduction in staff morale at a faculty, institute, or central divisional level.
</t>
    </r>
    <r>
      <rPr>
        <sz val="8"/>
        <rFont val="Wingdings"/>
        <charset val="2"/>
      </rPr>
      <t></t>
    </r>
    <r>
      <rPr>
        <sz val="8"/>
        <rFont val="Times New Roman"/>
        <family val="1"/>
      </rPr>
      <t xml:space="preserve"> </t>
    </r>
    <r>
      <rPr>
        <sz val="8"/>
        <rFont val="Arial"/>
        <family val="2"/>
      </rPr>
      <t>Widespread staff perception that senior management does not appropriately respond to staff breaching UQ Values, Code of Conduct Principles and/or safety procedures.</t>
    </r>
  </si>
  <si>
    <r>
      <rPr>
        <sz val="8"/>
        <rFont val="Wingdings"/>
        <charset val="2"/>
      </rPr>
      <t></t>
    </r>
    <r>
      <rPr>
        <sz val="8"/>
        <rFont val="Arial"/>
        <family val="2"/>
      </rPr>
      <t xml:space="preserve">Noticeable reduction in staff morale across UQ.
</t>
    </r>
    <r>
      <rPr>
        <sz val="8"/>
        <rFont val="Wingdings"/>
        <charset val="2"/>
      </rPr>
      <t></t>
    </r>
    <r>
      <rPr>
        <sz val="8"/>
        <rFont val="Arial"/>
        <family val="2"/>
      </rPr>
      <t xml:space="preserve">Sustained inability to fill essential roles and/or attract sought-after potential staff in a timely manner.
</t>
    </r>
    <r>
      <rPr>
        <sz val="8"/>
        <rFont val="Wingdings"/>
        <charset val="2"/>
      </rPr>
      <t></t>
    </r>
    <r>
      <rPr>
        <sz val="8"/>
        <rFont val="Arial"/>
        <family val="2"/>
      </rPr>
      <t xml:space="preserve">Persistent failure to retain valued staff for desired periods of time.
</t>
    </r>
    <r>
      <rPr>
        <sz val="8"/>
        <rFont val="Wingdings"/>
        <charset val="2"/>
      </rPr>
      <t></t>
    </r>
    <r>
      <rPr>
        <sz val="8"/>
        <rFont val="Times New Roman"/>
        <family val="1"/>
      </rPr>
      <t xml:space="preserve"> </t>
    </r>
    <r>
      <rPr>
        <sz val="8"/>
        <rFont val="Arial"/>
        <family val="2"/>
      </rPr>
      <t xml:space="preserve">Widespread staff perception that UQ does not appropriately respond to senior management staff breaching UQ Values, Code of Conduct
</t>
    </r>
    <r>
      <rPr>
        <sz val="8"/>
        <rFont val="Arial"/>
        <family val="2"/>
      </rPr>
      <t>Principles and/or safety procedures.</t>
    </r>
  </si>
  <si>
    <r>
      <rPr>
        <sz val="8"/>
        <rFont val="Wingdings"/>
        <charset val="2"/>
      </rPr>
      <t></t>
    </r>
    <r>
      <rPr>
        <sz val="8"/>
        <rFont val="Arial"/>
        <family val="2"/>
      </rPr>
      <t xml:space="preserve">Students and/or staff lose trust in UQ’s commitment and ability to abide by its Values.
</t>
    </r>
    <r>
      <rPr>
        <sz val="8"/>
        <rFont val="Wingdings"/>
        <charset val="2"/>
      </rPr>
      <t></t>
    </r>
    <r>
      <rPr>
        <sz val="8"/>
        <rFont val="Arial"/>
        <family val="2"/>
      </rPr>
      <t>Majority of internal stakeholders believe UQ’s culture is corrosive and/or noticeably detrimental to UQ’s success, and to the success of its staff and students.</t>
    </r>
  </si>
  <si>
    <r>
      <rPr>
        <b/>
        <sz val="8"/>
        <rFont val="Arial"/>
        <family val="2"/>
      </rPr>
      <t xml:space="preserve">COMPLIANCE and LEGAL RISK
</t>
    </r>
    <r>
      <rPr>
        <sz val="7"/>
        <rFont val="Arial"/>
        <family val="2"/>
      </rPr>
      <t>(Compliance with laws, regulations, contracts, licenses, court judgements, UQ policies and procedures)</t>
    </r>
  </si>
  <si>
    <r>
      <rPr>
        <sz val="8"/>
        <rFont val="Wingdings"/>
        <charset val="2"/>
      </rPr>
      <t></t>
    </r>
    <r>
      <rPr>
        <sz val="8"/>
        <rFont val="Arial"/>
        <family val="2"/>
      </rPr>
      <t xml:space="preserve">Award of damages or negotiated settlement less than $100K net outlay (not regulator related).
</t>
    </r>
    <r>
      <rPr>
        <sz val="8"/>
        <rFont val="Wingdings"/>
        <charset val="2"/>
      </rPr>
      <t></t>
    </r>
    <r>
      <rPr>
        <sz val="8"/>
        <rFont val="Arial"/>
        <family val="2"/>
      </rPr>
      <t>Breach of a local standard operating procedure but not of any UQ policy or procedure.</t>
    </r>
  </si>
  <si>
    <r>
      <rPr>
        <sz val="8"/>
        <rFont val="Wingdings"/>
        <charset val="2"/>
      </rPr>
      <t></t>
    </r>
    <r>
      <rPr>
        <sz val="8"/>
        <rFont val="Arial"/>
        <family val="2"/>
      </rPr>
      <t xml:space="preserve">Minor corrective actions from regulator on non-essential matters.
</t>
    </r>
    <r>
      <rPr>
        <sz val="8"/>
        <rFont val="Wingdings"/>
        <charset val="2"/>
      </rPr>
      <t></t>
    </r>
    <r>
      <rPr>
        <sz val="8"/>
        <rFont val="Arial"/>
        <family val="2"/>
      </rPr>
      <t xml:space="preserve">Award of damages or negotiated settlement between &gt;$100K - $500K net outlay (not regulator related).
</t>
    </r>
    <r>
      <rPr>
        <sz val="8"/>
        <rFont val="Wingdings"/>
        <charset val="2"/>
      </rPr>
      <t></t>
    </r>
    <r>
      <rPr>
        <sz val="8"/>
        <rFont val="Arial"/>
        <family val="2"/>
      </rPr>
      <t>Minor breach of a UQ policy or procedure.</t>
    </r>
  </si>
  <si>
    <r>
      <rPr>
        <sz val="8"/>
        <rFont val="Wingdings"/>
        <charset val="2"/>
      </rPr>
      <t></t>
    </r>
    <r>
      <rPr>
        <sz val="8"/>
        <rFont val="Arial"/>
        <family val="2"/>
      </rPr>
      <t xml:space="preserve">Court or regulator-imposed fines and penalties less than $500K.
</t>
    </r>
    <r>
      <rPr>
        <sz val="8"/>
        <rFont val="Wingdings"/>
        <charset val="2"/>
      </rPr>
      <t></t>
    </r>
    <r>
      <rPr>
        <sz val="8"/>
        <rFont val="Arial"/>
        <family val="2"/>
      </rPr>
      <t xml:space="preserve">Breach of law/regulation/license but without the consequences described in ‘Major’ or ‘Critical’.
</t>
    </r>
    <r>
      <rPr>
        <sz val="8"/>
        <rFont val="Wingdings"/>
        <charset val="2"/>
      </rPr>
      <t></t>
    </r>
    <r>
      <rPr>
        <sz val="8"/>
        <rFont val="Arial"/>
        <family val="2"/>
      </rPr>
      <t xml:space="preserve">Award of damages or negotiated settlement between &gt;$500K-$1M (net loss)
</t>
    </r>
    <r>
      <rPr>
        <sz val="8"/>
        <rFont val="Wingdings"/>
        <charset val="2"/>
      </rPr>
      <t></t>
    </r>
    <r>
      <rPr>
        <sz val="8"/>
        <rFont val="Arial"/>
        <family val="2"/>
      </rPr>
      <t>Significant but ad hoc breach of a UQ policy or procedure.</t>
    </r>
  </si>
  <si>
    <r>
      <rPr>
        <sz val="8"/>
        <rFont val="Wingdings"/>
        <charset val="2"/>
      </rPr>
      <t></t>
    </r>
    <r>
      <rPr>
        <sz val="8"/>
        <rFont val="Arial"/>
        <family val="2"/>
      </rPr>
      <t xml:space="preserve">Court or regulator-imposed fines and penalties &gt;$500K - $10M.
</t>
    </r>
    <r>
      <rPr>
        <sz val="8"/>
        <rFont val="Wingdings"/>
        <charset val="2"/>
      </rPr>
      <t></t>
    </r>
    <r>
      <rPr>
        <sz val="8"/>
        <rFont val="Arial"/>
        <family val="2"/>
      </rPr>
      <t xml:space="preserve">Show cause notice, major adverse finding or enforceable undertaking issued by regulator.
</t>
    </r>
    <r>
      <rPr>
        <sz val="8"/>
        <rFont val="Wingdings"/>
        <charset val="2"/>
      </rPr>
      <t></t>
    </r>
    <r>
      <rPr>
        <sz val="8"/>
        <rFont val="Arial"/>
        <family val="2"/>
      </rPr>
      <t xml:space="preserve">Award of damages or negotiated settlement between &gt;$1M - $10M (net loss).
</t>
    </r>
    <r>
      <rPr>
        <sz val="8"/>
        <rFont val="Wingdings"/>
        <charset val="2"/>
      </rPr>
      <t></t>
    </r>
    <r>
      <rPr>
        <sz val="8"/>
        <rFont val="Arial"/>
        <family val="2"/>
      </rPr>
      <t>Significant and systemic breaches of UQ policies or procedures.</t>
    </r>
  </si>
  <si>
    <r>
      <rPr>
        <sz val="8"/>
        <rFont val="Wingdings"/>
        <charset val="2"/>
      </rPr>
      <t></t>
    </r>
    <r>
      <rPr>
        <sz val="8"/>
        <rFont val="Arial"/>
        <family val="2"/>
      </rPr>
      <t xml:space="preserve">Criminal conviction of UQ and/or its executive/s in their official capacity.
</t>
    </r>
    <r>
      <rPr>
        <sz val="8"/>
        <rFont val="Wingdings"/>
        <charset val="2"/>
      </rPr>
      <t></t>
    </r>
    <r>
      <rPr>
        <sz val="8"/>
        <rFont val="Arial"/>
        <family val="2"/>
      </rPr>
      <t xml:space="preserve">Court imposed fines and penalties &gt;$10M.
</t>
    </r>
    <r>
      <rPr>
        <sz val="8"/>
        <rFont val="Wingdings"/>
        <charset val="2"/>
      </rPr>
      <t></t>
    </r>
    <r>
      <rPr>
        <sz val="8"/>
        <rFont val="Arial"/>
        <family val="2"/>
      </rPr>
      <t xml:space="preserve">Loss of mission-essential licence
</t>
    </r>
    <r>
      <rPr>
        <sz val="8"/>
        <rFont val="Arial"/>
        <family val="2"/>
      </rPr>
      <t xml:space="preserve">/accreditation.
</t>
    </r>
    <r>
      <rPr>
        <sz val="8"/>
        <rFont val="Wingdings"/>
        <charset val="2"/>
      </rPr>
      <t></t>
    </r>
    <r>
      <rPr>
        <sz val="8"/>
        <rFont val="Arial"/>
        <family val="2"/>
      </rPr>
      <t>Award of damages against UQ or negotiated settlement costing UQ &gt;$10M (net loss).</t>
    </r>
  </si>
  <si>
    <r>
      <rPr>
        <b/>
        <sz val="8"/>
        <rFont val="Arial"/>
        <family val="2"/>
      </rPr>
      <t xml:space="preserve">REPUTATION
</t>
    </r>
    <r>
      <rPr>
        <sz val="7"/>
        <rFont val="Arial"/>
        <family val="2"/>
      </rPr>
      <t xml:space="preserve">Key stakeholders:
</t>
    </r>
    <r>
      <rPr>
        <sz val="7"/>
        <rFont val="Wingdings"/>
        <charset val="2"/>
      </rPr>
      <t></t>
    </r>
    <r>
      <rPr>
        <sz val="7"/>
        <rFont val="Times New Roman"/>
        <family val="1"/>
      </rPr>
      <t xml:space="preserve"> </t>
    </r>
    <r>
      <rPr>
        <sz val="7"/>
        <rFont val="Arial"/>
        <family val="2"/>
      </rPr>
      <t xml:space="preserve">Students and Staff (current and prospective)
</t>
    </r>
    <r>
      <rPr>
        <sz val="7"/>
        <rFont val="Wingdings"/>
        <charset val="2"/>
      </rPr>
      <t></t>
    </r>
    <r>
      <rPr>
        <sz val="7"/>
        <rFont val="Times New Roman"/>
        <family val="1"/>
      </rPr>
      <t xml:space="preserve"> </t>
    </r>
    <r>
      <rPr>
        <sz val="7"/>
        <rFont val="Arial"/>
        <family val="2"/>
      </rPr>
      <t xml:space="preserve">Alumni / Donors / Partners / Peers
</t>
    </r>
    <r>
      <rPr>
        <sz val="7"/>
        <rFont val="Wingdings"/>
        <charset val="2"/>
      </rPr>
      <t></t>
    </r>
    <r>
      <rPr>
        <sz val="7"/>
        <rFont val="Times New Roman"/>
        <family val="1"/>
      </rPr>
      <t xml:space="preserve"> </t>
    </r>
    <r>
      <rPr>
        <sz val="7"/>
        <rFont val="Arial"/>
        <family val="2"/>
      </rPr>
      <t xml:space="preserve">Government; all levels
</t>
    </r>
    <r>
      <rPr>
        <sz val="7"/>
        <rFont val="Wingdings"/>
        <charset val="2"/>
      </rPr>
      <t></t>
    </r>
    <r>
      <rPr>
        <sz val="7"/>
        <rFont val="Times New Roman"/>
        <family val="1"/>
      </rPr>
      <t xml:space="preserve"> </t>
    </r>
    <r>
      <rPr>
        <sz val="7"/>
        <rFont val="Arial"/>
        <family val="2"/>
      </rPr>
      <t xml:space="preserve">Research Investors / Customers
</t>
    </r>
    <r>
      <rPr>
        <sz val="7"/>
        <rFont val="Wingdings"/>
        <charset val="2"/>
      </rPr>
      <t></t>
    </r>
    <r>
      <rPr>
        <sz val="7"/>
        <rFont val="Times New Roman"/>
        <family val="1"/>
      </rPr>
      <t xml:space="preserve"> </t>
    </r>
    <r>
      <rPr>
        <sz val="7"/>
        <rFont val="Arial"/>
        <family val="2"/>
      </rPr>
      <t xml:space="preserve">Community; domestic and international
</t>
    </r>
    <r>
      <rPr>
        <sz val="7.5"/>
        <rFont val="Wingdings"/>
        <charset val="2"/>
      </rPr>
      <t></t>
    </r>
    <r>
      <rPr>
        <sz val="7.5"/>
        <rFont val="Times New Roman"/>
        <family val="1"/>
      </rPr>
      <t xml:space="preserve"> </t>
    </r>
    <r>
      <rPr>
        <sz val="7"/>
        <rFont val="Arial"/>
        <family val="2"/>
      </rPr>
      <t>Suppliers, Unions</t>
    </r>
  </si>
  <si>
    <r>
      <rPr>
        <sz val="8"/>
        <rFont val="Wingdings"/>
        <charset val="2"/>
      </rPr>
      <t></t>
    </r>
    <r>
      <rPr>
        <sz val="8"/>
        <rFont val="Arial"/>
        <family val="2"/>
      </rPr>
      <t xml:space="preserve">Negligible impact.
</t>
    </r>
    <r>
      <rPr>
        <sz val="8"/>
        <rFont val="Wingdings"/>
        <charset val="2"/>
      </rPr>
      <t></t>
    </r>
    <r>
      <rPr>
        <sz val="8"/>
        <rFont val="Arial"/>
        <family val="2"/>
      </rPr>
      <t>Ad hoc negative mentions or rumours of a negative event on social media.</t>
    </r>
  </si>
  <si>
    <r>
      <rPr>
        <sz val="8"/>
        <rFont val="Wingdings"/>
        <charset val="2"/>
      </rPr>
      <t></t>
    </r>
    <r>
      <rPr>
        <sz val="8"/>
        <rFont val="Arial"/>
        <family val="2"/>
      </rPr>
      <t xml:space="preserve">Adverse conventional or social media coverage for a brief time.
</t>
    </r>
    <r>
      <rPr>
        <sz val="8"/>
        <rFont val="Wingdings"/>
        <charset val="2"/>
      </rPr>
      <t></t>
    </r>
    <r>
      <rPr>
        <sz val="8"/>
        <rFont val="Arial"/>
        <family val="2"/>
      </rPr>
      <t>Limited ability to meet some legitimate but insignificant student, staff and/or other stakeholders’ demands and expectations.</t>
    </r>
  </si>
  <si>
    <r>
      <rPr>
        <sz val="8"/>
        <rFont val="Wingdings"/>
        <charset val="2"/>
      </rPr>
      <t></t>
    </r>
    <r>
      <rPr>
        <sz val="8"/>
        <rFont val="Arial"/>
        <family val="2"/>
      </rPr>
      <t xml:space="preserve">Regular adverse conventional or social media coverage.
</t>
    </r>
    <r>
      <rPr>
        <sz val="8"/>
        <rFont val="Wingdings"/>
        <charset val="2"/>
      </rPr>
      <t></t>
    </r>
    <r>
      <rPr>
        <sz val="8"/>
        <rFont val="Arial"/>
        <family val="2"/>
      </rPr>
      <t xml:space="preserve">Students and staff (including unions) frequently and publicly express their disapproval and disappointment at UQ.
</t>
    </r>
    <r>
      <rPr>
        <sz val="8"/>
        <rFont val="Wingdings"/>
        <charset val="2"/>
      </rPr>
      <t></t>
    </r>
    <r>
      <rPr>
        <sz val="8"/>
        <rFont val="Arial"/>
        <family val="2"/>
      </rPr>
      <t>Short-term failure to meet legitimate and significant student, staff and/or other stakeholders’ demands and expectations.</t>
    </r>
  </si>
  <si>
    <r>
      <rPr>
        <sz val="8"/>
        <rFont val="Wingdings"/>
        <charset val="2"/>
      </rPr>
      <t></t>
    </r>
    <r>
      <rPr>
        <sz val="8"/>
        <rFont val="Arial"/>
        <family val="2"/>
      </rPr>
      <t xml:space="preserve">Ongoing criticism of UQ in conventional or social media gradually undermining public perception of UQ.
</t>
    </r>
    <r>
      <rPr>
        <sz val="8"/>
        <rFont val="Wingdings"/>
        <charset val="2"/>
      </rPr>
      <t></t>
    </r>
    <r>
      <rPr>
        <sz val="8"/>
        <rFont val="Arial"/>
        <family val="2"/>
      </rPr>
      <t>Sustained long-term failure to meet legitimate and significant student, staff and/or other stakeholders’ demands and expectations.</t>
    </r>
  </si>
  <si>
    <r>
      <rPr>
        <sz val="8"/>
        <rFont val="Wingdings"/>
        <charset val="2"/>
      </rPr>
      <t></t>
    </r>
    <r>
      <rPr>
        <sz val="8"/>
        <rFont val="Arial"/>
        <family val="2"/>
      </rPr>
      <t xml:space="preserve">Strong, sustained and largely unanimous criticism of UQ by key stakeholders or general public, via conventional or social media.
</t>
    </r>
    <r>
      <rPr>
        <sz val="8"/>
        <rFont val="Wingdings"/>
        <charset val="2"/>
      </rPr>
      <t></t>
    </r>
    <r>
      <rPr>
        <sz val="8"/>
        <rFont val="Arial"/>
        <family val="2"/>
      </rPr>
      <t>Very public and rapid withdrawal of support for, and trust in, UQ by its key stakeholders.</t>
    </r>
  </si>
  <si>
    <r>
      <rPr>
        <b/>
        <sz val="8"/>
        <rFont val="Arial"/>
        <family val="2"/>
      </rPr>
      <t xml:space="preserve">STRATEGIC
</t>
    </r>
    <r>
      <rPr>
        <i/>
        <sz val="7"/>
        <rFont val="Arial"/>
        <family val="2"/>
      </rPr>
      <t>Strategic KPIs are the highest priority KPIs included in UQ’s Strategic Plan</t>
    </r>
  </si>
  <si>
    <r>
      <rPr>
        <sz val="8"/>
        <rFont val="Arial"/>
        <family val="2"/>
      </rPr>
      <t>Negligible but has potential to adversely impact UQ’s strategic KPIs.</t>
    </r>
  </si>
  <si>
    <r>
      <rPr>
        <sz val="8"/>
        <rFont val="Arial"/>
        <family val="2"/>
      </rPr>
      <t>Negative but acceptable variations in less than 10% of UQ’s strategic KPIs when assessed on an annual basis or against annual milestones.</t>
    </r>
  </si>
  <si>
    <r>
      <rPr>
        <sz val="8"/>
        <rFont val="Arial"/>
        <family val="2"/>
      </rPr>
      <t>Significant but acceptable negative variations in &gt;10%-20% of UQ’s strategic KPIs when assessed on an annual basis or against annual milestones.</t>
    </r>
  </si>
  <si>
    <r>
      <rPr>
        <sz val="8"/>
        <rFont val="Arial"/>
        <family val="2"/>
      </rPr>
      <t>Significant or unacceptable negative variations in &gt;20%-30% of UQ’s strategic KPIs when assessed on an annual basis or against annual milestones.</t>
    </r>
  </si>
  <si>
    <r>
      <rPr>
        <sz val="8"/>
        <rFont val="Arial"/>
        <family val="2"/>
      </rPr>
      <t>Significant or unacceptable negative variations in more than 30% of UQ’s strategic KPIs when assessed on an annual basis or against annual milestones.</t>
    </r>
  </si>
  <si>
    <r>
      <rPr>
        <b/>
        <sz val="8"/>
        <rFont val="Arial"/>
        <family val="2"/>
      </rPr>
      <t xml:space="preserve">FINANCIAL </t>
    </r>
    <r>
      <rPr>
        <sz val="7"/>
        <rFont val="Arial"/>
        <family val="2"/>
      </rPr>
      <t xml:space="preserve">(Note 1)
</t>
    </r>
    <r>
      <rPr>
        <i/>
        <sz val="7"/>
        <rFont val="Arial"/>
        <family val="2"/>
      </rPr>
      <t>Measured as adverse impact on budgeted annual EBIT</t>
    </r>
  </si>
  <si>
    <r>
      <rPr>
        <sz val="8"/>
        <rFont val="Arial"/>
        <family val="2"/>
      </rPr>
      <t xml:space="preserve">Net adverse EBIT impact of less than 1% of budgeted total income: </t>
    </r>
    <r>
      <rPr>
        <i/>
        <sz val="8"/>
        <rFont val="Arial"/>
        <family val="2"/>
      </rPr>
      <t xml:space="preserve">this equates to negative EBIT impact of
</t>
    </r>
    <r>
      <rPr>
        <i/>
        <sz val="8"/>
        <rFont val="Arial"/>
        <family val="2"/>
      </rPr>
      <t>&lt;$20M for 2021</t>
    </r>
  </si>
  <si>
    <r>
      <rPr>
        <sz val="8"/>
        <rFont val="Arial"/>
        <family val="2"/>
      </rPr>
      <t xml:space="preserve">Net adverse EBIT impact of 1%-2.5% of budgeted total income: </t>
    </r>
    <r>
      <rPr>
        <i/>
        <sz val="8"/>
        <rFont val="Arial"/>
        <family val="2"/>
      </rPr>
      <t xml:space="preserve">this equates to negative EBIT impact of
</t>
    </r>
    <r>
      <rPr>
        <i/>
        <sz val="8"/>
        <rFont val="Arial"/>
        <family val="2"/>
      </rPr>
      <t>$20M -$50M for 2021</t>
    </r>
  </si>
  <si>
    <r>
      <rPr>
        <sz val="8"/>
        <rFont val="Arial"/>
        <family val="2"/>
      </rPr>
      <t xml:space="preserve">Net adverse EBIT impact of &gt;2.5%-5% of budgeted total income: </t>
    </r>
    <r>
      <rPr>
        <i/>
        <sz val="8"/>
        <rFont val="Arial"/>
        <family val="2"/>
      </rPr>
      <t>this equates to negative EBIT impact of &gt;$50M -$100M for 2021</t>
    </r>
  </si>
  <si>
    <r>
      <rPr>
        <sz val="8"/>
        <rFont val="Arial"/>
        <family val="2"/>
      </rPr>
      <t xml:space="preserve">Net adverse EBIT impact of &gt;5%-10% of budgeted total income: </t>
    </r>
    <r>
      <rPr>
        <i/>
        <sz val="8"/>
        <rFont val="Arial"/>
        <family val="2"/>
      </rPr>
      <t xml:space="preserve">this equates to negative EBIT impact of &gt;$100M -
</t>
    </r>
    <r>
      <rPr>
        <i/>
        <sz val="8"/>
        <rFont val="Arial"/>
        <family val="2"/>
      </rPr>
      <t>$200M for 2021</t>
    </r>
  </si>
  <si>
    <r>
      <rPr>
        <sz val="8"/>
        <rFont val="Arial"/>
        <family val="2"/>
      </rPr>
      <t xml:space="preserve">Net adverse EBIT impact of greater than 10% of budgeted total income: </t>
    </r>
    <r>
      <rPr>
        <i/>
        <sz val="8"/>
        <rFont val="Arial"/>
        <family val="2"/>
      </rPr>
      <t xml:space="preserve">this equates to negative EBIT impact of
</t>
    </r>
    <r>
      <rPr>
        <i/>
        <sz val="8"/>
        <rFont val="Arial"/>
        <family val="2"/>
      </rPr>
      <t>&gt;$200M for 2021</t>
    </r>
  </si>
  <si>
    <r>
      <rPr>
        <b/>
        <sz val="8"/>
        <rFont val="Arial"/>
        <family val="2"/>
      </rPr>
      <t xml:space="preserve">OPERATIONS </t>
    </r>
    <r>
      <rPr>
        <sz val="7"/>
        <rFont val="Arial"/>
        <family val="2"/>
      </rPr>
      <t xml:space="preserve">(Note 1)
</t>
    </r>
    <r>
      <rPr>
        <sz val="7"/>
        <rFont val="Symbol"/>
        <family val="1"/>
      </rPr>
      <t></t>
    </r>
    <r>
      <rPr>
        <sz val="7"/>
        <rFont val="Times New Roman"/>
        <family val="1"/>
      </rPr>
      <t xml:space="preserve">  </t>
    </r>
    <r>
      <rPr>
        <sz val="7"/>
        <rFont val="Arial"/>
        <family val="2"/>
      </rPr>
      <t xml:space="preserve">Functions refer to Academic activities, i.e. research, teaching, learning
</t>
    </r>
    <r>
      <rPr>
        <sz val="7"/>
        <rFont val="Symbol"/>
        <family val="1"/>
      </rPr>
      <t></t>
    </r>
    <r>
      <rPr>
        <sz val="7"/>
        <rFont val="Times New Roman"/>
        <family val="1"/>
      </rPr>
      <t xml:space="preserve">  </t>
    </r>
    <r>
      <rPr>
        <sz val="7"/>
        <rFont val="Arial"/>
        <family val="2"/>
      </rPr>
      <t>Support services refer to Non-Academic activities e.g. COO portfolio, professional services</t>
    </r>
  </si>
  <si>
    <r>
      <rPr>
        <sz val="8"/>
        <rFont val="Arial"/>
        <family val="2"/>
      </rPr>
      <t>Insignificant impact on the delivery or performance of non-essential functions and/or support services; issue/s quickly resolved.</t>
    </r>
  </si>
  <si>
    <r>
      <rPr>
        <sz val="8"/>
        <rFont val="Wingdings"/>
        <charset val="2"/>
      </rPr>
      <t></t>
    </r>
    <r>
      <rPr>
        <sz val="8"/>
        <rFont val="Arial"/>
        <family val="2"/>
      </rPr>
      <t xml:space="preserve">Minor, unplanned negative impact on the delivery or performance of non-essential functions and/or support services.
</t>
    </r>
    <r>
      <rPr>
        <sz val="8"/>
        <rFont val="Wingdings"/>
        <charset val="2"/>
      </rPr>
      <t></t>
    </r>
    <r>
      <rPr>
        <sz val="8"/>
        <rFont val="Arial"/>
        <family val="2"/>
      </rPr>
      <t xml:space="preserve">Some damage, loss or contamination of non- essential facilities, infrastructure, resources (incl. research samples, data, information assets), systems
</t>
    </r>
    <r>
      <rPr>
        <sz val="8"/>
        <rFont val="Arial"/>
        <family val="2"/>
      </rPr>
      <t>or operational capabilities.</t>
    </r>
  </si>
  <si>
    <r>
      <rPr>
        <sz val="8"/>
        <rFont val="Wingdings"/>
        <charset val="2"/>
      </rPr>
      <t></t>
    </r>
    <r>
      <rPr>
        <sz val="8"/>
        <rFont val="Arial"/>
        <family val="2"/>
      </rPr>
      <t xml:space="preserve">Moderate, unplanned negative impact on the delivery or performance of essential functions and/or support services.
</t>
    </r>
    <r>
      <rPr>
        <sz val="8"/>
        <rFont val="Wingdings"/>
        <charset val="2"/>
      </rPr>
      <t></t>
    </r>
    <r>
      <rPr>
        <sz val="8"/>
        <rFont val="Arial"/>
        <family val="2"/>
      </rPr>
      <t xml:space="preserve">Significant damage, loss or contamination of non-essential facilities, infrastructure, resources (incl. research samples), systems or operational capabilities.
</t>
    </r>
    <r>
      <rPr>
        <sz val="5"/>
        <rFont val="Wingdings"/>
        <charset val="2"/>
      </rPr>
      <t></t>
    </r>
    <r>
      <rPr>
        <sz val="5"/>
        <rFont val="Times New Roman"/>
        <family val="1"/>
      </rPr>
      <t xml:space="preserve"> </t>
    </r>
    <r>
      <rPr>
        <sz val="8"/>
        <rFont val="Arial"/>
        <family val="2"/>
      </rPr>
      <t xml:space="preserve">Some damage, loss or contamination of essential facilities, infrastructure, resources (incl. research samples, data, information assets), systems or
</t>
    </r>
    <r>
      <rPr>
        <sz val="8"/>
        <rFont val="Arial"/>
        <family val="2"/>
      </rPr>
      <t>operational capabilities.</t>
    </r>
  </si>
  <si>
    <r>
      <rPr>
        <sz val="8"/>
        <rFont val="Wingdings"/>
        <charset val="2"/>
      </rPr>
      <t></t>
    </r>
    <r>
      <rPr>
        <sz val="8"/>
        <rFont val="Arial"/>
        <family val="2"/>
      </rPr>
      <t xml:space="preserve">Significant and/or sustained, unplanned impact on the delivery or performance of essential functions and/or support services during a less operationally critical time.
</t>
    </r>
    <r>
      <rPr>
        <sz val="8"/>
        <rFont val="Wingdings"/>
        <charset val="2"/>
      </rPr>
      <t></t>
    </r>
    <r>
      <rPr>
        <sz val="8"/>
        <rFont val="Arial"/>
        <family val="2"/>
      </rPr>
      <t xml:space="preserve">Significant damage, loss, or contamination of essential facilities, infrastructure, resources (incl. research samples, data, information assets), systems or operational capabilities that </t>
    </r>
    <r>
      <rPr>
        <b/>
        <u/>
        <sz val="8"/>
        <rFont val="Arial"/>
        <family val="2"/>
      </rPr>
      <t>can</t>
    </r>
    <r>
      <rPr>
        <b/>
        <sz val="8"/>
        <rFont val="Arial"/>
        <family val="2"/>
      </rPr>
      <t xml:space="preserve"> </t>
    </r>
    <r>
      <rPr>
        <sz val="8"/>
        <rFont val="Arial"/>
        <family val="2"/>
      </rPr>
      <t xml:space="preserve">be replaced, repaired, or recovered
</t>
    </r>
    <r>
      <rPr>
        <sz val="8"/>
        <rFont val="Arial"/>
        <family val="2"/>
      </rPr>
      <t>from.</t>
    </r>
  </si>
  <si>
    <r>
      <rPr>
        <sz val="8"/>
        <rFont val="Wingdings"/>
        <charset val="2"/>
      </rPr>
      <t></t>
    </r>
    <r>
      <rPr>
        <sz val="8"/>
        <rFont val="Arial"/>
        <family val="2"/>
      </rPr>
      <t xml:space="preserve">Significant, unplanned negative impact on the delivery or performance of essential functions and/or support services during an operationally critical time and for an unacceptable period.
</t>
    </r>
    <r>
      <rPr>
        <sz val="8"/>
        <rFont val="Wingdings"/>
        <charset val="2"/>
      </rPr>
      <t></t>
    </r>
    <r>
      <rPr>
        <sz val="8"/>
        <rFont val="Arial"/>
        <family val="2"/>
      </rPr>
      <t xml:space="preserve">Significant damage, loss, or contamination of essential facilities, infrastructure, resources (incl. research samples, data, information assets), systems or operational capabilities that </t>
    </r>
    <r>
      <rPr>
        <b/>
        <u/>
        <sz val="8"/>
        <rFont val="Arial"/>
        <family val="2"/>
      </rPr>
      <t>cannot</t>
    </r>
    <r>
      <rPr>
        <b/>
        <sz val="8"/>
        <rFont val="Arial"/>
        <family val="2"/>
      </rPr>
      <t xml:space="preserve"> </t>
    </r>
    <r>
      <rPr>
        <sz val="8"/>
        <rFont val="Arial"/>
        <family val="2"/>
      </rPr>
      <t xml:space="preserve">be practicably replaced, repaired,
</t>
    </r>
    <r>
      <rPr>
        <sz val="8"/>
        <rFont val="Arial"/>
        <family val="2"/>
      </rPr>
      <t>or recovered from.</t>
    </r>
  </si>
  <si>
    <t>Likelihood Ratings</t>
  </si>
  <si>
    <t>Rating</t>
  </si>
  <si>
    <t xml:space="preserve">Likelihood </t>
  </si>
  <si>
    <t xml:space="preserve">Definition </t>
  </si>
  <si>
    <t>Likely to occur every</t>
  </si>
  <si>
    <t>Likelyhood Rating</t>
  </si>
  <si>
    <t>Very High</t>
  </si>
  <si>
    <t>Almost certain; extremely likely</t>
  </si>
  <si>
    <t>Month or more frequently</t>
  </si>
  <si>
    <t xml:space="preserve">Very Likely; will probably occur </t>
  </si>
  <si>
    <t>1 - 6 months</t>
  </si>
  <si>
    <t>Likely to happen</t>
  </si>
  <si>
    <t>6 months - 2 years</t>
  </si>
  <si>
    <t>Possible but unlikely</t>
  </si>
  <si>
    <t>2 - 5 years</t>
  </si>
  <si>
    <t>Very Low</t>
  </si>
  <si>
    <t xml:space="preserve">Conceivable but extremely unlikely </t>
  </si>
  <si>
    <t>5 years or more</t>
  </si>
  <si>
    <t>Risk Ratings</t>
  </si>
  <si>
    <t>Impact</t>
  </si>
  <si>
    <t>Very High (5)</t>
  </si>
  <si>
    <t>Extreme</t>
  </si>
  <si>
    <t>High (4)</t>
  </si>
  <si>
    <t>Medium (3)</t>
  </si>
  <si>
    <t>Low (2)</t>
  </si>
  <si>
    <t>Very Low (1)</t>
  </si>
  <si>
    <t>Classification</t>
  </si>
  <si>
    <t>Example data types</t>
  </si>
  <si>
    <t>Information that is unrelated to UQ, and is of a personal nature.</t>
  </si>
  <si>
    <t>Personal correspondence (eg. dinner plans).</t>
  </si>
  <si>
    <t>OFFICIAL - PUBLIC</t>
  </si>
  <si>
    <t>Information that if breached owing to accidental or malicious activity would have an insignificant impact. 
The information is authorised for public access, however it may not be made available in the public domain.</t>
  </si>
  <si>
    <t>University strategy; published course outlines; academic calendar; published research data.</t>
  </si>
  <si>
    <t>OFFICIAL - INTERNAL</t>
  </si>
  <si>
    <t>Information that if breached owing to accidental or malicious activity would be unlikely to cause harm to UQ, another organisation or an individual if released publicly. 
The information has a restricted audience, and access must only be authorised based on academic, research or business need.  </t>
  </si>
  <si>
    <t>Identity information of staff members or students (e.g. employee number or position title); internal correspondence; business unit process and procedure; team leave calendar.</t>
  </si>
  <si>
    <t>Information that if breached owing to accidental or malicious activity could reasonably be expected to cause harm to UQ, another organisation or an individual if released publicly. 
The information has a restricted audience, and access must only be authorised based on strict academic, research or business need. </t>
  </si>
  <si>
    <t>Student and staff human resources data (e.g. Tax File Numbers, passport details, bank account details); organisational financial data; exam material; exam results; unpublished research data.</t>
  </si>
  <si>
    <t>Information that if breached owing to accidental or malicious activity could reasonably be expected to cause serious harm to UQ, another organisation or an individual if released publicly. 
The information has a restricted audience, and access must only be authorised based on very strict academic, research or business need. </t>
  </si>
  <si>
    <r>
      <t>Health records; personal data regarding persons under the age of 18; credit card data; commercially significant research results</t>
    </r>
    <r>
      <rPr>
        <sz val="8"/>
        <color rgb="FF222222"/>
        <rFont val="Roboto"/>
      </rPr>
      <t>.</t>
    </r>
  </si>
  <si>
    <t>Risk Description</t>
  </si>
  <si>
    <t>Control Priority</t>
  </si>
  <si>
    <t>R01</t>
  </si>
  <si>
    <t>Application is compromised due to inadequate security controls because it is not actively managed and maintained.</t>
  </si>
  <si>
    <t>R02</t>
  </si>
  <si>
    <t>Unauthorised access to the application.</t>
  </si>
  <si>
    <t>R03</t>
  </si>
  <si>
    <t>Unauthorised access to application data or features.</t>
  </si>
  <si>
    <t>R04</t>
  </si>
  <si>
    <t>Compromise of application remains undetected for a significant period.</t>
  </si>
  <si>
    <t>R05</t>
  </si>
  <si>
    <t>Impact or cause of compromise is unable to be determined, resulting in greater negative impact.</t>
  </si>
  <si>
    <t>R06</t>
  </si>
  <si>
    <t>Confidential data is exposed that is no longer required to be stored by the application, resulting in greater negative impact.</t>
  </si>
  <si>
    <t>R07</t>
  </si>
  <si>
    <t>The application is used incorrectly impairing a business process.</t>
  </si>
  <si>
    <t>R08</t>
  </si>
  <si>
    <t>Malicious or accidental use of an application causes a significant negative impact.</t>
  </si>
  <si>
    <t>R09</t>
  </si>
  <si>
    <t>Application is compromised via back-end infrastructure components.</t>
  </si>
  <si>
    <t>R10</t>
  </si>
  <si>
    <t>Application is compromised, resulting in a compromise of infrastructure components.</t>
  </si>
  <si>
    <t>R11</t>
  </si>
  <si>
    <t>Application is compromised due to a software vulnerability.</t>
  </si>
  <si>
    <t>R12</t>
  </si>
  <si>
    <t>COTS application is compromised due to a software vulnerability.</t>
  </si>
  <si>
    <t>R13</t>
  </si>
  <si>
    <t>Application is compromised due to a vulnerability in internally developed code.</t>
  </si>
  <si>
    <t>R14</t>
  </si>
  <si>
    <t>Web application is compromised by exploiting an application-layer security weakness or a vulnerable web page component.</t>
  </si>
  <si>
    <t>R15</t>
  </si>
  <si>
    <t>Application is compromised due to a security weakness in its configuration.</t>
  </si>
  <si>
    <t>R16</t>
  </si>
  <si>
    <t>Confidential information hosted in the application is exposed via interception of network traffic between the application servers and the client.</t>
  </si>
  <si>
    <t>R17</t>
  </si>
  <si>
    <t>Confidential information hosted in the application is exposed via access to the persistent storage used to host the application.</t>
  </si>
  <si>
    <t>R18</t>
  </si>
  <si>
    <t>Application compromised via physical access to the equipment hosting the application.</t>
  </si>
  <si>
    <t>R19</t>
  </si>
  <si>
    <t>Externally managed application is compromised due to insufficient security controls</t>
  </si>
  <si>
    <t>R20</t>
  </si>
  <si>
    <t>Confidential data is exposed due to compromise of a non-production environment.</t>
  </si>
  <si>
    <t>R21</t>
  </si>
  <si>
    <t>Confidential integration data stored in an intermediate location is exposed.</t>
  </si>
  <si>
    <t>R22</t>
  </si>
  <si>
    <t>Integration data exposed or modified in transit across a network</t>
  </si>
  <si>
    <t>R23</t>
  </si>
  <si>
    <t>Integration compromised due to lack of ongoing management.</t>
  </si>
  <si>
    <t>R24</t>
  </si>
  <si>
    <t>Unauthorised access to application due to compromised integration account</t>
  </si>
  <si>
    <t>R25</t>
  </si>
  <si>
    <t>Application is unavailable for an extended period due to operational staff not being alerted, impacting UQ business operations.</t>
  </si>
  <si>
    <t>R26</t>
  </si>
  <si>
    <t>Poor application performance remains undetected or is difficult to diagnose, impacting business operations.</t>
  </si>
  <si>
    <t>R27</t>
  </si>
  <si>
    <t>Application is unavailable for a significant period due to a fault impacting one of its components, impacting UQ business operations.</t>
  </si>
  <si>
    <t xml:space="preserve">Failover testing </t>
  </si>
  <si>
    <t>R28</t>
  </si>
  <si>
    <t>Performance of IT service is impaired due to loss of hosting services in a single location</t>
  </si>
  <si>
    <t>R29</t>
  </si>
  <si>
    <t>Application is unavailable due to loss of hosting services in a single location, impacting UQ business operations.</t>
  </si>
  <si>
    <t>R30</t>
  </si>
  <si>
    <t>Application is unavailable for a significant period due to a disaster event, impacting UQ business operations.</t>
  </si>
  <si>
    <t>Application data is lost or corrupted due to a fault or error, impacting UQ business operations.</t>
  </si>
  <si>
    <t>R31</t>
  </si>
  <si>
    <t>Service outage due to an operational change impacting UQ business operations.</t>
  </si>
  <si>
    <t>R32</t>
  </si>
  <si>
    <t>Externally managed application is unavailable for a significant period, impacting UQ business operations.</t>
  </si>
  <si>
    <t>R33</t>
  </si>
  <si>
    <t>Application is unavailable for a significant period due to a fault which cannot be resolved quickly by support staff</t>
  </si>
  <si>
    <t>R34</t>
  </si>
  <si>
    <t>Application is not able to process user requests adequately during high load periods.</t>
  </si>
  <si>
    <t>R35</t>
  </si>
  <si>
    <t>Integration data not available for easy consumption by other applications.</t>
  </si>
  <si>
    <t>Application Type</t>
  </si>
  <si>
    <t>Information Security Classifications</t>
  </si>
  <si>
    <t>Management</t>
  </si>
  <si>
    <t>Condition</t>
  </si>
  <si>
    <t>Client Type</t>
  </si>
  <si>
    <t>Has integrations</t>
  </si>
  <si>
    <t>Any</t>
  </si>
  <si>
    <t>Yes</t>
  </si>
  <si>
    <t>Intermediate Integration data deleted</t>
  </si>
  <si>
    <t>User training</t>
  </si>
  <si>
    <t>Internal</t>
  </si>
  <si>
    <t>IaaS or PaaS</t>
  </si>
  <si>
    <t>COTS</t>
  </si>
  <si>
    <t>Open Source</t>
  </si>
  <si>
    <t>Web</t>
  </si>
  <si>
    <t>Web+Desktop</t>
  </si>
  <si>
    <t>Web+Mobile</t>
  </si>
  <si>
    <t>Teir 1</t>
  </si>
  <si>
    <t>All</t>
  </si>
  <si>
    <t>Other</t>
  </si>
  <si>
    <t>External without pen testing</t>
  </si>
  <si>
    <t>External</t>
  </si>
  <si>
    <t>Developed</t>
  </si>
  <si>
    <t>Highly customised</t>
  </si>
  <si>
    <t>Sensitivity</t>
  </si>
  <si>
    <t>Number of Records</t>
  </si>
  <si>
    <t>No Users</t>
  </si>
  <si>
    <t>Financial Loss</t>
  </si>
  <si>
    <t>Integrity Rating</t>
  </si>
  <si>
    <t>1 - 100</t>
  </si>
  <si>
    <t>&lt;100</t>
  </si>
  <si>
    <t>&lt;$100K</t>
  </si>
  <si>
    <t>24 by 7</t>
  </si>
  <si>
    <t>&lt; 20 minutes</t>
  </si>
  <si>
    <t>&lt; 2 hours</t>
  </si>
  <si>
    <t>Not started</t>
  </si>
  <si>
    <t>101 - 1000</t>
  </si>
  <si>
    <t>100-1000</t>
  </si>
  <si>
    <t>$100K-$1M</t>
  </si>
  <si>
    <t>Business Hours</t>
  </si>
  <si>
    <t>20 - 60 minutes</t>
  </si>
  <si>
    <t>2 - 24 hours</t>
  </si>
  <si>
    <t>Mobile</t>
  </si>
  <si>
    <t>In Progress</t>
  </si>
  <si>
    <t>&gt;1000</t>
  </si>
  <si>
    <t>&gt;$1M</t>
  </si>
  <si>
    <t>&gt; 60 minutes</t>
  </si>
  <si>
    <t>&gt; 24 hours</t>
  </si>
  <si>
    <t>Desktop</t>
  </si>
  <si>
    <t>Complete</t>
  </si>
  <si>
    <t>&gt;10,000</t>
  </si>
  <si>
    <t>Pending 3rd Party</t>
  </si>
  <si>
    <t>Desktop+Mobile</t>
  </si>
  <si>
    <t>Web+Desktop+Mobile</t>
  </si>
  <si>
    <t>External Application Type</t>
  </si>
  <si>
    <t>Risk and Cost</t>
  </si>
  <si>
    <t>Not Feasible</t>
  </si>
  <si>
    <t>No</t>
  </si>
  <si>
    <t xml:space="preserve">Tier 3 </t>
  </si>
  <si>
    <t>Current Control Name</t>
  </si>
  <si>
    <t>Current Control Description</t>
  </si>
  <si>
    <t>v2.0</t>
  </si>
  <si>
    <t>v3.1</t>
  </si>
  <si>
    <t>v3.3</t>
  </si>
  <si>
    <t>v3.5</t>
  </si>
  <si>
    <t>Changes</t>
  </si>
  <si>
    <t>QA History Duplicates</t>
  </si>
  <si>
    <t>QA On General Controls Page</t>
  </si>
  <si>
    <t>QA Name &amp; Description Match</t>
  </si>
  <si>
    <t>QA Has Associated Risk</t>
  </si>
  <si>
    <t>QA Generates General Risk</t>
  </si>
  <si>
    <t>QA Has Control Rule</t>
  </si>
  <si>
    <t>Error Count</t>
  </si>
  <si>
    <t>Y</t>
  </si>
  <si>
    <t>Use of the UQ single sign-on web-based authentication service (UQ Authenticate) to authenticate users.</t>
  </si>
  <si>
    <t>N</t>
  </si>
  <si>
    <t>Added in V3.5</t>
  </si>
  <si>
    <t>Description corrected in v3.1</t>
  </si>
  <si>
    <t>Added in v3.1</t>
  </si>
  <si>
    <t>Renamed from "Application logging" to "Application security logging" in v3.3</t>
  </si>
  <si>
    <t>Automated security monitoring</t>
  </si>
  <si>
    <t>Application software and user activity logs are continuously monitored to detect potential security compromises.</t>
  </si>
  <si>
    <t>DR02</t>
  </si>
  <si>
    <t>Removed in v3.3 (replaced with DR03, DR04, DR05)</t>
  </si>
  <si>
    <t>Added in v3.3</t>
  </si>
  <si>
    <t>Changed name in V3.5 to "Data restoration testing" from "Data backup testing"</t>
  </si>
  <si>
    <t>Application security assessment</t>
  </si>
  <si>
    <t>An annual security assessment is performed of the application including:
1.	Validation of the security controls against the requirements of the Application Security Standard.
2.	For applications rated as Medium or High risk, a cyber security application risk assessment (or review of).
3.	If the application is internally managed and the cost of maintaining sufficient security controls is excessive due to the age of its components, then it should be considered for decommissioning, replacement or re-development.</t>
  </si>
  <si>
    <t>GM04</t>
  </si>
  <si>
    <t>Removed in v3.1</t>
  </si>
  <si>
    <t>Changed name in V3.5 to "24 by 7 intrusive alerts" from "24 by 7 SMS alerts" and updated description.</t>
  </si>
  <si>
    <t>Changed name in V3.5 to "Business hours intrusive alerts" from "Business hours SMS alerts" and updated description.</t>
  </si>
  <si>
    <t>Changed name in V3.5 to "Non-intrusive alerts" from "Email alerts" and updated description.</t>
  </si>
  <si>
    <t>Components of the application are segregated and fire-walled from each other and from clients to restrict traffic flows to only those that are required.</t>
  </si>
  <si>
    <t>Penetration testing (4 years)</t>
  </si>
  <si>
    <t>Penetration testing must be conducted prior to deployment, when significant changes have been made to the application, and at least every four years during which incremental changes have been made to the application.</t>
  </si>
  <si>
    <t>VM03</t>
  </si>
  <si>
    <t>Removed in V3.3 (four and two years replaced with two and annual)</t>
  </si>
  <si>
    <t>Version</t>
  </si>
  <si>
    <t>3.5.2</t>
  </si>
  <si>
    <t>Last Updated</t>
  </si>
  <si>
    <t>Author</t>
  </si>
  <si>
    <t>Marc Blum</t>
  </si>
  <si>
    <t>Last Modified</t>
  </si>
  <si>
    <t xml:space="preserve">  - Updated "Required Controls" sheet so that applications with "MODERATE (AV)" Availability Clossification only require business hours intrustive alerts (not 24 by 7)
  - Updated description of NC02 so that it more clear</t>
  </si>
  <si>
    <t>3.5.1</t>
  </si>
  <si>
    <t xml:space="preserve"> - Added QA formulas to Control History tab
- Added named ranges for General Controls table
- Removed trailing space in AV02 "Failover Testing" name (hiding it from Required Controls)
 - Corrected name of IN03 "Integrations compliant with data integration architecture" in Required Controls spreadsheet (fix permanent Required = FALSE in General Controls)
- Corrected name of AV16 from "3rd Party" to "Third-party" in Required Controls spreadsheet (fix permanent Required = FALSE in General Controls)
- Added "Third-party support" to Missing Control Risks spreadsheet </t>
  </si>
  <si>
    <t>3.5</t>
  </si>
  <si>
    <t xml:space="preserve"> - Added controls AV12, AV13, A14 and AV15
 - Changed name of control DT02 to "Data restoration testing"
 - Changed name of control MA01 to "24 by 7 intrusive alerts"
 - Change name of control MA02 to "Business hours intrusive alerts"
 - Change name of control MA03 to "Non-intrusive alerts"
 - Updated the "Required Controls" sheet
 - Added AP03, AV08, IN03, IN05, TP01, CC03 to "Missing Control Risks" sheet
 - Added additional risks R33, R34, R35 to "Missing Control Risks" sheet</t>
  </si>
  <si>
    <t>3.4</t>
  </si>
  <si>
    <t xml:space="preserve">- Reapplied usability changes from v3.2
- Changed labels on RTO/RPO with full name and definition in note
- Formatted Application Details
- Added "Control History" tab
- Added lookups to Notes and Actions columns to Missing Control Risks so they show context to General Risks
</t>
  </si>
  <si>
    <t>3.3</t>
  </si>
  <si>
    <t>- Changed CIA classifications in Application Tier and Classifications to text labels (to replace numbered tiers)
- Updated Required Controls to reflect new CIA text labels
- Detection &amp; Response: Removed DR02 "Automated security monitoring" and replaced with DR03/04/05 which individually lists software, all users, and privileged users
- Modified Penetration Testing: removed VM03 (testing every 4 Years) and added VM09 (Annual testing)
- Modified Missing Control RIsk: Network Access restricted to UQ users and UQ managed devices</t>
  </si>
  <si>
    <t>3.2</t>
  </si>
  <si>
    <t>- fixed format of cells on Application Information
- added display versions of Likelihood and Impact to Missing Control Risks and General Risks tabs (for understanding &amp; transfer to JIRA)
- added Control ID to General Controls tab
- added Actions column to General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</si>
</sst>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47">
    <font>
      <sz val="11"/>
      <color theme="1"/>
      <name val="Calibri"/>
      <family val="2"/>
      <scheme val="minor"/>
    </font>
    <font>
      <sz val="18"/>
      <color theme="1"/>
      <name val="Calibri"/>
      <family val="2"/>
      <scheme val="minor"/>
    </font>
    <font>
      <sz val="9"/>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1"/>
      <name val="Calibri"/>
      <family val="2"/>
      <scheme val="minor"/>
    </font>
    <font>
      <b/>
      <sz val="9"/>
      <color theme="1"/>
      <name val="Calibri"/>
      <family val="2"/>
      <scheme val="minor"/>
    </font>
    <font>
      <sz val="12"/>
      <color theme="1"/>
      <name val="Times New Roman"/>
      <family val="1"/>
    </font>
    <font>
      <b/>
      <sz val="12"/>
      <color theme="1"/>
      <name val="Times New Roman"/>
      <family val="1"/>
    </font>
    <font>
      <b/>
      <sz val="12"/>
      <color theme="1"/>
      <name val="Calibri"/>
      <family val="2"/>
      <scheme val="minor"/>
    </font>
    <font>
      <b/>
      <sz val="8"/>
      <color rgb="FF000000"/>
      <name val="Arial"/>
      <family val="2"/>
    </font>
    <font>
      <sz val="8"/>
      <color rgb="FF000000"/>
      <name val="Arial"/>
      <family val="2"/>
    </font>
    <font>
      <b/>
      <sz val="11.5"/>
      <color rgb="FFFFFFFF"/>
      <name val="Arial"/>
      <family val="2"/>
    </font>
    <font>
      <sz val="8"/>
      <color rgb="FFFFFFFF"/>
      <name val="Arial"/>
      <family val="2"/>
    </font>
    <font>
      <b/>
      <sz val="8"/>
      <name val="Arial"/>
      <family val="2"/>
    </font>
    <font>
      <sz val="8"/>
      <name val="Arial"/>
      <family val="2"/>
    </font>
    <font>
      <sz val="7"/>
      <name val="Arial"/>
      <family val="2"/>
    </font>
    <font>
      <sz val="8"/>
      <name val="Arial"/>
      <family val="2"/>
      <charset val="2"/>
    </font>
    <font>
      <sz val="8"/>
      <name val="Wingdings"/>
      <charset val="2"/>
    </font>
    <font>
      <sz val="8"/>
      <color theme="1"/>
      <name val="Arial"/>
      <family val="2"/>
    </font>
    <font>
      <sz val="8"/>
      <name val="Times New Roman"/>
      <family val="1"/>
    </font>
    <font>
      <sz val="7"/>
      <name val="Wingdings"/>
      <charset val="2"/>
    </font>
    <font>
      <sz val="7"/>
      <name val="Times New Roman"/>
      <family val="1"/>
    </font>
    <font>
      <sz val="7.5"/>
      <name val="Wingdings"/>
      <charset val="2"/>
    </font>
    <font>
      <sz val="7.5"/>
      <name val="Times New Roman"/>
      <family val="1"/>
    </font>
    <font>
      <i/>
      <sz val="7"/>
      <name val="Arial"/>
      <family val="2"/>
    </font>
    <font>
      <i/>
      <sz val="8"/>
      <name val="Arial"/>
      <family val="2"/>
    </font>
    <font>
      <sz val="7"/>
      <name val="Symbol"/>
      <family val="1"/>
    </font>
    <font>
      <sz val="5"/>
      <name val="Wingdings"/>
      <charset val="2"/>
    </font>
    <font>
      <sz val="5"/>
      <name val="Times New Roman"/>
      <family val="1"/>
    </font>
    <font>
      <b/>
      <u/>
      <sz val="8"/>
      <name val="Arial"/>
      <family val="2"/>
    </font>
    <font>
      <sz val="8"/>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sz val="11"/>
      <name val="Calibri"/>
      <family val="2"/>
      <scheme val="minor"/>
    </font>
    <font>
      <sz val="9"/>
      <color indexed="81"/>
      <name val="Tahoma"/>
      <family val="2"/>
    </font>
    <font>
      <b/>
      <sz val="16"/>
      <color rgb="FF7030A0"/>
      <name val="Calibri"/>
      <family val="2"/>
      <scheme val="minor"/>
    </font>
    <font>
      <b/>
      <u/>
      <sz val="11"/>
      <color theme="0"/>
      <name val="Calibri"/>
      <family val="2"/>
      <scheme val="minor"/>
    </font>
    <font>
      <b/>
      <sz val="20"/>
      <color theme="0"/>
      <name val="Calibri"/>
      <family val="2"/>
      <scheme val="minor"/>
    </font>
    <font>
      <b/>
      <sz val="12"/>
      <color theme="0"/>
      <name val="Calibri"/>
      <family val="2"/>
      <scheme val="minor"/>
    </font>
    <font>
      <b/>
      <sz val="14"/>
      <color theme="0"/>
      <name val="Calibri"/>
      <family val="2"/>
      <scheme val="minor"/>
    </font>
    <font>
      <i/>
      <sz val="11"/>
      <color rgb="FF7F7F7F"/>
      <name val="Calibri"/>
      <family val="2"/>
      <scheme val="minor"/>
    </font>
    <font>
      <sz val="8"/>
      <color rgb="FF222222"/>
      <name val="Roboto"/>
    </font>
    <font>
      <b/>
      <sz val="12"/>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C7C7EB"/>
        <bgColor indexed="64"/>
      </patternFill>
    </fill>
    <fill>
      <patternFill patternType="solid">
        <fgColor rgb="FF7030A0"/>
        <bgColor indexed="64"/>
      </patternFill>
    </fill>
    <fill>
      <patternFill patternType="solid">
        <fgColor rgb="FFFFFF00"/>
        <bgColor indexed="64"/>
      </patternFill>
    </fill>
    <fill>
      <patternFill patternType="solid">
        <fgColor rgb="FFFFD966"/>
        <bgColor indexed="64"/>
      </patternFill>
    </fill>
    <fill>
      <patternFill patternType="solid">
        <fgColor rgb="FFFF0000"/>
        <bgColor indexed="64"/>
      </patternFill>
    </fill>
    <fill>
      <patternFill patternType="solid">
        <fgColor rgb="FF92D050"/>
        <bgColor indexed="64"/>
      </patternFill>
    </fill>
    <fill>
      <patternFill patternType="solid">
        <fgColor rgb="FF323188"/>
      </patternFill>
    </fill>
    <fill>
      <patternFill patternType="solid">
        <fgColor rgb="FFC7C7EB"/>
      </patternFill>
    </fill>
    <fill>
      <patternFill patternType="solid">
        <fgColor rgb="FFFFF5FC"/>
      </patternFill>
    </fill>
    <fill>
      <patternFill patternType="solid">
        <fgColor rgb="FFFFCCCC"/>
        <bgColor indexed="64"/>
      </patternFill>
    </fill>
    <fill>
      <patternFill patternType="solid">
        <fgColor rgb="FFF8CBAD"/>
        <bgColor indexed="64"/>
      </patternFill>
    </fill>
    <fill>
      <patternFill patternType="solid">
        <fgColor rgb="FFE2EFDA"/>
        <bgColor indexed="64"/>
      </patternFill>
    </fill>
    <fill>
      <patternFill patternType="solid">
        <fgColor theme="0" tint="-4.9989318521683403E-2"/>
        <bgColor indexed="64"/>
      </patternFill>
    </fill>
    <fill>
      <patternFill patternType="solid">
        <fgColor rgb="FFEFE5F7"/>
        <bgColor indexed="64"/>
      </patternFill>
    </fill>
    <fill>
      <patternFill patternType="solid">
        <fgColor theme="7"/>
        <bgColor indexed="64"/>
      </patternFill>
    </fill>
    <fill>
      <patternFill patternType="solid">
        <fgColor theme="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333288"/>
      </left>
      <right style="medium">
        <color rgb="FF333288"/>
      </right>
      <top style="medium">
        <color rgb="FF333288"/>
      </top>
      <bottom/>
      <diagonal/>
    </border>
    <border>
      <left/>
      <right style="medium">
        <color rgb="FF333288"/>
      </right>
      <top style="medium">
        <color rgb="FF333288"/>
      </top>
      <bottom/>
      <diagonal/>
    </border>
    <border>
      <left style="medium">
        <color rgb="FF333288"/>
      </left>
      <right style="medium">
        <color rgb="FF333288"/>
      </right>
      <top/>
      <bottom style="medium">
        <color rgb="FF333288"/>
      </bottom>
      <diagonal/>
    </border>
    <border>
      <left style="medium">
        <color rgb="FF333288"/>
      </left>
      <right style="medium">
        <color rgb="FF333288"/>
      </right>
      <top style="medium">
        <color rgb="FF333288"/>
      </top>
      <bottom style="medium">
        <color rgb="FF333288"/>
      </bottom>
      <diagonal/>
    </border>
    <border>
      <left/>
      <right style="medium">
        <color rgb="FF333288"/>
      </right>
      <top style="medium">
        <color rgb="FF333288"/>
      </top>
      <bottom style="medium">
        <color rgb="FF333288"/>
      </bottom>
      <diagonal/>
    </border>
    <border>
      <left/>
      <right style="medium">
        <color rgb="FF333288"/>
      </right>
      <top/>
      <bottom style="medium">
        <color rgb="FF333288"/>
      </bottom>
      <diagonal/>
    </border>
    <border>
      <left style="thin">
        <color rgb="FF7E7E7E"/>
      </left>
      <right/>
      <top style="thin">
        <color rgb="FF7E7E7E"/>
      </top>
      <bottom/>
      <diagonal/>
    </border>
    <border>
      <left/>
      <right/>
      <top style="thin">
        <color rgb="FF7E7E7E"/>
      </top>
      <bottom/>
      <diagonal/>
    </border>
    <border>
      <left style="thin">
        <color rgb="FF323188"/>
      </left>
      <right/>
      <top/>
      <bottom style="thin">
        <color rgb="FF323188"/>
      </bottom>
      <diagonal/>
    </border>
    <border>
      <left style="thin">
        <color rgb="FF323188"/>
      </left>
      <right style="thin">
        <color rgb="FF323188"/>
      </right>
      <top/>
      <bottom style="thin">
        <color rgb="FF323188"/>
      </bottom>
      <diagonal/>
    </border>
    <border>
      <left style="thin">
        <color rgb="FF323188"/>
      </left>
      <right/>
      <top style="thin">
        <color rgb="FF323188"/>
      </top>
      <bottom style="thin">
        <color rgb="FF323188"/>
      </bottom>
      <diagonal/>
    </border>
    <border>
      <left style="thin">
        <color indexed="64"/>
      </left>
      <right style="thin">
        <color indexed="64"/>
      </right>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rgb="FF7E7E7E"/>
      </left>
      <right/>
      <top/>
      <bottom/>
      <diagonal/>
    </border>
    <border>
      <left/>
      <right style="thin">
        <color rgb="FF7E7E7E"/>
      </right>
      <top/>
      <bottom/>
      <diagonal/>
    </border>
    <border>
      <left style="medium">
        <color rgb="FFDDDDDD"/>
      </left>
      <right/>
      <top style="thin">
        <color rgb="FF323188"/>
      </top>
      <bottom style="thin">
        <color rgb="FF323188"/>
      </bottom>
      <diagonal/>
    </border>
    <border>
      <left/>
      <right style="medium">
        <color rgb="FFDDDDDD"/>
      </right>
      <top style="thin">
        <color rgb="FF323188"/>
      </top>
      <bottom style="thin">
        <color rgb="FF323188"/>
      </bottom>
      <diagonal/>
    </border>
    <border>
      <left style="thin">
        <color rgb="FF7E7E7E"/>
      </left>
      <right/>
      <top/>
      <bottom style="thin">
        <color rgb="FF323188"/>
      </bottom>
      <diagonal/>
    </border>
    <border>
      <left/>
      <right/>
      <top/>
      <bottom style="thin">
        <color rgb="FF323188"/>
      </bottom>
      <diagonal/>
    </border>
  </borders>
  <cellStyleXfs count="3">
    <xf numFmtId="0" fontId="0" fillId="0" borderId="0"/>
    <xf numFmtId="0" fontId="4" fillId="0" borderId="0" applyNumberFormat="0" applyFill="0" applyBorder="0" applyAlignment="0" applyProtection="0"/>
    <xf numFmtId="0" fontId="44" fillId="0" borderId="0" applyNumberFormat="0" applyFill="0" applyBorder="0" applyAlignment="0" applyProtection="0"/>
  </cellStyleXfs>
  <cellXfs count="148">
    <xf numFmtId="0" fontId="0" fillId="0" borderId="0" xfId="0"/>
    <xf numFmtId="0" fontId="0" fillId="0" borderId="1" xfId="0" applyBorder="1" applyAlignment="1">
      <alignment vertical="center" wrapText="1"/>
    </xf>
    <xf numFmtId="0" fontId="4" fillId="0" borderId="1" xfId="1" applyBorder="1" applyAlignment="1">
      <alignment vertical="center" wrapText="1"/>
    </xf>
    <xf numFmtId="0" fontId="0" fillId="0" borderId="1" xfId="0" applyBorder="1"/>
    <xf numFmtId="0" fontId="3" fillId="0" borderId="1" xfId="0" applyFont="1" applyBorder="1" applyAlignment="1">
      <alignment vertical="center" wrapText="1"/>
    </xf>
    <xf numFmtId="0" fontId="0" fillId="0" borderId="1" xfId="0" applyBorder="1" applyAlignment="1">
      <alignment wrapText="1"/>
    </xf>
    <xf numFmtId="0" fontId="3" fillId="0" borderId="1" xfId="0" applyFont="1" applyBorder="1" applyAlignment="1">
      <alignment horizontal="left"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4" fillId="0" borderId="1" xfId="1" applyBorder="1" applyAlignment="1">
      <alignment horizontal="left" vertical="center"/>
    </xf>
    <xf numFmtId="0" fontId="6" fillId="3" borderId="1" xfId="0" applyFont="1" applyFill="1" applyBorder="1" applyAlignment="1">
      <alignment vertical="center" wrapText="1"/>
    </xf>
    <xf numFmtId="0" fontId="4" fillId="0" borderId="1" xfId="1" applyBorder="1"/>
    <xf numFmtId="0" fontId="8" fillId="0" borderId="4" xfId="0" applyFont="1" applyBorder="1" applyAlignment="1">
      <alignment vertical="center" wrapText="1"/>
    </xf>
    <xf numFmtId="0" fontId="8" fillId="0" borderId="6" xfId="0" applyFont="1" applyBorder="1" applyAlignment="1">
      <alignment vertical="center" wrapText="1"/>
    </xf>
    <xf numFmtId="0" fontId="9" fillId="0" borderId="11" xfId="0" applyFont="1" applyBorder="1" applyAlignment="1">
      <alignment horizontal="center" vertical="center" wrapText="1"/>
    </xf>
    <xf numFmtId="0" fontId="0" fillId="3" borderId="1" xfId="0" applyFill="1" applyBorder="1" applyAlignment="1">
      <alignment vertical="top" wrapText="1"/>
    </xf>
    <xf numFmtId="0" fontId="0" fillId="0" borderId="1" xfId="0" applyBorder="1" applyAlignment="1">
      <alignment vertical="top" wrapText="1"/>
    </xf>
    <xf numFmtId="0" fontId="0" fillId="0" borderId="0" xfId="0" applyAlignment="1">
      <alignment wrapText="1"/>
    </xf>
    <xf numFmtId="0" fontId="3" fillId="0" borderId="0" xfId="0" applyFont="1"/>
    <xf numFmtId="0" fontId="3" fillId="0" borderId="0" xfId="0" applyFont="1" applyAlignment="1">
      <alignment wrapText="1"/>
    </xf>
    <xf numFmtId="0" fontId="10" fillId="0" borderId="0" xfId="0" applyFont="1" applyAlignment="1">
      <alignment vertical="top" wrapText="1"/>
    </xf>
    <xf numFmtId="0" fontId="0" fillId="0" borderId="0" xfId="0" applyAlignment="1">
      <alignment vertical="top" wrapText="1"/>
    </xf>
    <xf numFmtId="0" fontId="0" fillId="0" borderId="1" xfId="0" applyBorder="1" applyAlignment="1">
      <alignment vertical="top"/>
    </xf>
    <xf numFmtId="0" fontId="11" fillId="5" borderId="15" xfId="0" applyFont="1" applyFill="1" applyBorder="1" applyAlignment="1">
      <alignment horizontal="center" vertical="center" wrapText="1"/>
    </xf>
    <xf numFmtId="0" fontId="11" fillId="5" borderId="16" xfId="0" applyFont="1" applyFill="1" applyBorder="1" applyAlignment="1">
      <alignment vertical="center" wrapText="1"/>
    </xf>
    <xf numFmtId="0" fontId="11" fillId="5" borderId="16"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0" borderId="17"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0" fontId="0" fillId="6" borderId="0" xfId="0" applyFill="1"/>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right" vertical="center" wrapText="1"/>
    </xf>
    <xf numFmtId="0" fontId="12" fillId="7" borderId="16"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0" fillId="3" borderId="0" xfId="0" applyFont="1" applyFill="1" applyAlignment="1">
      <alignment vertical="top" wrapText="1"/>
    </xf>
    <xf numFmtId="0" fontId="9" fillId="0" borderId="3"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5"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0" fillId="11" borderId="18" xfId="0" applyFill="1" applyBorder="1" applyAlignment="1">
      <alignment horizontal="left" vertical="top" wrapText="1"/>
    </xf>
    <xf numFmtId="0" fontId="0" fillId="11" borderId="19" xfId="0" applyFill="1" applyBorder="1" applyAlignment="1">
      <alignment horizontal="left" vertical="top" wrapText="1"/>
    </xf>
    <xf numFmtId="0" fontId="15" fillId="12" borderId="20" xfId="0" applyFont="1" applyFill="1" applyBorder="1" applyAlignment="1">
      <alignment horizontal="left" vertical="center" wrapText="1"/>
    </xf>
    <xf numFmtId="0" fontId="16" fillId="12" borderId="20" xfId="0" applyFont="1" applyFill="1" applyBorder="1" applyAlignment="1">
      <alignment horizontal="center" vertical="top" wrapText="1"/>
    </xf>
    <xf numFmtId="0" fontId="16" fillId="12" borderId="21" xfId="0" applyFont="1" applyFill="1" applyBorder="1" applyAlignment="1">
      <alignment horizontal="center" vertical="top" wrapText="1"/>
    </xf>
    <xf numFmtId="0" fontId="0" fillId="12" borderId="21" xfId="0" applyFill="1" applyBorder="1" applyAlignment="1">
      <alignment horizontal="center" vertical="top" wrapText="1"/>
    </xf>
    <xf numFmtId="0" fontId="0" fillId="12" borderId="22" xfId="0" applyFill="1" applyBorder="1" applyAlignment="1">
      <alignment horizontal="left" vertical="top" wrapText="1"/>
    </xf>
    <xf numFmtId="0" fontId="16" fillId="13" borderId="22" xfId="0" applyFont="1" applyFill="1" applyBorder="1" applyAlignment="1">
      <alignment horizontal="left" vertical="top" wrapText="1"/>
    </xf>
    <xf numFmtId="0" fontId="18" fillId="13" borderId="22" xfId="0" applyFont="1" applyFill="1" applyBorder="1" applyAlignment="1">
      <alignment horizontal="left" vertical="top" wrapText="1"/>
    </xf>
    <xf numFmtId="0" fontId="20" fillId="13" borderId="22" xfId="0" applyFont="1" applyFill="1" applyBorder="1" applyAlignment="1">
      <alignment horizontal="left" vertical="top" wrapText="1"/>
    </xf>
    <xf numFmtId="0" fontId="15" fillId="12" borderId="22" xfId="0" applyFont="1" applyFill="1" applyBorder="1" applyAlignment="1">
      <alignment horizontal="left" vertical="top" wrapText="1"/>
    </xf>
    <xf numFmtId="0" fontId="3" fillId="12" borderId="0" xfId="0" applyFont="1" applyFill="1" applyAlignment="1">
      <alignment horizontal="left" vertical="top" wrapText="1"/>
    </xf>
    <xf numFmtId="164" fontId="0" fillId="0" borderId="0" xfId="0" applyNumberFormat="1"/>
    <xf numFmtId="164" fontId="3" fillId="0" borderId="1" xfId="0" applyNumberFormat="1" applyFont="1" applyBorder="1" applyAlignment="1">
      <alignment vertical="center" wrapText="1"/>
    </xf>
    <xf numFmtId="164" fontId="4" fillId="0" borderId="1" xfId="1" applyNumberFormat="1" applyBorder="1" applyAlignment="1">
      <alignment vertical="center" wrapText="1"/>
    </xf>
    <xf numFmtId="164" fontId="0" fillId="0" borderId="1" xfId="0" applyNumberFormat="1" applyBorder="1" applyAlignment="1">
      <alignment horizontal="center" vertical="center"/>
    </xf>
    <xf numFmtId="164" fontId="0" fillId="0" borderId="1" xfId="0" applyNumberFormat="1" applyBorder="1" applyAlignment="1">
      <alignment horizontal="left" vertical="center" wrapText="1" indent="1"/>
    </xf>
    <xf numFmtId="164" fontId="0" fillId="0" borderId="1" xfId="0" applyNumberFormat="1" applyBorder="1" applyAlignment="1">
      <alignment vertical="center" wrapText="1"/>
    </xf>
    <xf numFmtId="164" fontId="4" fillId="0" borderId="1" xfId="1" applyNumberFormat="1" applyBorder="1" applyAlignment="1">
      <alignment horizontal="center" vertical="center"/>
    </xf>
    <xf numFmtId="0" fontId="9" fillId="0" borderId="0" xfId="0" applyFont="1" applyAlignment="1">
      <alignment vertical="center" wrapText="1"/>
    </xf>
    <xf numFmtId="14" fontId="0" fillId="0" borderId="0" xfId="0" applyNumberFormat="1"/>
    <xf numFmtId="0" fontId="6" fillId="0" borderId="23" xfId="0" applyFont="1" applyBorder="1" applyAlignment="1">
      <alignment vertical="center" wrapText="1"/>
    </xf>
    <xf numFmtId="0" fontId="0" fillId="14" borderId="0" xfId="0" applyFill="1"/>
    <xf numFmtId="0" fontId="10" fillId="0" borderId="0" xfId="0" applyFont="1"/>
    <xf numFmtId="0" fontId="10" fillId="4" borderId="0" xfId="0" applyFont="1" applyFill="1" applyAlignment="1">
      <alignment vertical="top" wrapText="1"/>
    </xf>
    <xf numFmtId="0" fontId="0" fillId="2" borderId="0" xfId="0" applyFill="1"/>
    <xf numFmtId="0" fontId="0" fillId="15" borderId="0" xfId="0" applyFill="1"/>
    <xf numFmtId="0" fontId="0" fillId="16" borderId="0" xfId="0" applyFill="1"/>
    <xf numFmtId="0" fontId="33" fillId="0" borderId="0" xfId="0" applyFont="1"/>
    <xf numFmtId="0" fontId="0" fillId="0" borderId="0" xfId="0" quotePrefix="1"/>
    <xf numFmtId="0" fontId="4" fillId="0" borderId="0" xfId="1" applyFill="1"/>
    <xf numFmtId="0" fontId="0" fillId="0" borderId="0" xfId="0" quotePrefix="1" applyAlignment="1">
      <alignment horizontal="left" vertical="top" wrapText="1"/>
    </xf>
    <xf numFmtId="0" fontId="3" fillId="0" borderId="0" xfId="0" quotePrefix="1" applyFont="1" applyAlignment="1">
      <alignment horizontal="left" vertical="top"/>
    </xf>
    <xf numFmtId="0" fontId="3" fillId="0" borderId="0" xfId="0" quotePrefix="1" applyFont="1" applyAlignment="1">
      <alignment vertical="top"/>
    </xf>
    <xf numFmtId="0" fontId="0" fillId="0" borderId="0" xfId="0" quotePrefix="1" applyAlignment="1">
      <alignment vertical="top" wrapText="1"/>
    </xf>
    <xf numFmtId="0" fontId="36" fillId="6" borderId="0" xfId="0" applyFont="1" applyFill="1" applyAlignment="1">
      <alignment horizontal="center" vertical="center" wrapText="1"/>
    </xf>
    <xf numFmtId="0" fontId="4" fillId="0" borderId="0" xfId="1" applyFill="1" applyBorder="1" applyAlignment="1"/>
    <xf numFmtId="0" fontId="1" fillId="0" borderId="0" xfId="0" applyFont="1" applyAlignment="1">
      <alignment horizontal="center" wrapText="1"/>
    </xf>
    <xf numFmtId="164" fontId="1" fillId="0" borderId="0" xfId="0" applyNumberFormat="1" applyFont="1" applyAlignment="1">
      <alignment horizontal="center" wrapText="1"/>
    </xf>
    <xf numFmtId="0" fontId="6" fillId="0" borderId="0" xfId="0" applyFont="1" applyAlignment="1">
      <alignment vertical="center" wrapText="1"/>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0" fontId="7" fillId="0" borderId="0" xfId="0" applyFont="1" applyAlignment="1">
      <alignment horizontal="left" vertical="center" wrapText="1"/>
    </xf>
    <xf numFmtId="0" fontId="35" fillId="0" borderId="0" xfId="0" applyFont="1"/>
    <xf numFmtId="0" fontId="0" fillId="0" borderId="0" xfId="0" quotePrefix="1" applyAlignment="1">
      <alignment wrapText="1"/>
    </xf>
    <xf numFmtId="0" fontId="37" fillId="17" borderId="0" xfId="0" applyFont="1" applyFill="1" applyAlignment="1">
      <alignment vertical="center" wrapText="1"/>
    </xf>
    <xf numFmtId="0" fontId="0" fillId="0" borderId="0" xfId="0" applyAlignment="1">
      <alignment horizontal="left" vertical="center" wrapText="1"/>
    </xf>
    <xf numFmtId="0" fontId="6" fillId="17" borderId="0" xfId="0" applyFont="1" applyFill="1" applyAlignment="1">
      <alignment vertical="center" wrapText="1"/>
    </xf>
    <xf numFmtId="49" fontId="37" fillId="0" borderId="24" xfId="0" applyNumberFormat="1" applyFont="1" applyBorder="1" applyAlignment="1">
      <alignment horizontal="left" vertical="center" wrapText="1"/>
    </xf>
    <xf numFmtId="14" fontId="37" fillId="0" borderId="24" xfId="0" applyNumberFormat="1" applyFont="1" applyBorder="1" applyAlignment="1">
      <alignment horizontal="left" vertical="center" wrapText="1"/>
    </xf>
    <xf numFmtId="49" fontId="37" fillId="0" borderId="24" xfId="0" applyNumberFormat="1" applyFont="1" applyBorder="1" applyAlignment="1">
      <alignment vertical="center" wrapText="1"/>
    </xf>
    <xf numFmtId="0" fontId="37" fillId="18" borderId="24" xfId="0" applyFont="1" applyFill="1" applyBorder="1" applyAlignment="1">
      <alignment vertical="center" wrapText="1"/>
    </xf>
    <xf numFmtId="0" fontId="37" fillId="0" borderId="24" xfId="0" applyFont="1" applyBorder="1" applyAlignment="1">
      <alignment vertical="center" wrapText="1"/>
    </xf>
    <xf numFmtId="0" fontId="39" fillId="0" borderId="0" xfId="0" applyFont="1"/>
    <xf numFmtId="0" fontId="37" fillId="0" borderId="1" xfId="0" applyFont="1" applyBorder="1" applyAlignment="1">
      <alignment vertical="center" wrapText="1"/>
    </xf>
    <xf numFmtId="0" fontId="34" fillId="6" borderId="0" xfId="0" applyFont="1" applyFill="1" applyAlignment="1">
      <alignment vertical="center"/>
    </xf>
    <xf numFmtId="0" fontId="40" fillId="6" borderId="0" xfId="1" applyFont="1" applyFill="1" applyAlignment="1">
      <alignment vertical="center"/>
    </xf>
    <xf numFmtId="164" fontId="36" fillId="6" borderId="0" xfId="0" applyNumberFormat="1" applyFont="1" applyFill="1" applyAlignment="1">
      <alignment horizontal="center" vertical="center" wrapText="1"/>
    </xf>
    <xf numFmtId="0" fontId="34" fillId="6" borderId="0" xfId="0" applyFont="1" applyFill="1" applyAlignment="1">
      <alignment vertical="center" wrapText="1"/>
    </xf>
    <xf numFmtId="0" fontId="41" fillId="6" borderId="0" xfId="0" applyFont="1" applyFill="1" applyAlignment="1">
      <alignment horizontal="left" vertical="center"/>
    </xf>
    <xf numFmtId="0" fontId="3" fillId="18" borderId="2" xfId="0" applyFont="1" applyFill="1" applyBorder="1" applyAlignment="1">
      <alignment horizontal="center" vertical="center" wrapText="1"/>
    </xf>
    <xf numFmtId="164" fontId="3" fillId="18" borderId="2" xfId="0" applyNumberFormat="1" applyFont="1" applyFill="1" applyBorder="1" applyAlignment="1">
      <alignment horizontal="center" vertical="center" wrapText="1"/>
    </xf>
    <xf numFmtId="0" fontId="10" fillId="0" borderId="0" xfId="0" applyFont="1" applyAlignment="1">
      <alignment wrapText="1"/>
    </xf>
    <xf numFmtId="0" fontId="42" fillId="6" borderId="2" xfId="0" applyFont="1" applyFill="1" applyBorder="1" applyAlignment="1">
      <alignment horizontal="left" vertical="center" wrapText="1"/>
    </xf>
    <xf numFmtId="0" fontId="42" fillId="6" borderId="0" xfId="0" applyFont="1" applyFill="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xf>
    <xf numFmtId="0" fontId="3" fillId="19" borderId="2" xfId="0" applyFont="1" applyFill="1" applyBorder="1" applyAlignment="1">
      <alignment horizontal="center" vertical="center" wrapText="1"/>
    </xf>
    <xf numFmtId="0" fontId="42" fillId="6" borderId="0" xfId="0" applyFont="1" applyFill="1" applyAlignment="1">
      <alignment vertical="top"/>
    </xf>
    <xf numFmtId="0" fontId="3" fillId="18" borderId="1" xfId="0" applyFont="1" applyFill="1" applyBorder="1" applyAlignment="1">
      <alignment vertical="top" wrapText="1"/>
    </xf>
    <xf numFmtId="0" fontId="0" fillId="6" borderId="0" xfId="0" applyFill="1" applyAlignment="1">
      <alignment vertical="top" wrapText="1"/>
    </xf>
    <xf numFmtId="0" fontId="0" fillId="3" borderId="23" xfId="0"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3" borderId="1" xfId="0"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43" fillId="19" borderId="1" xfId="0" applyFont="1" applyFill="1" applyBorder="1" applyAlignment="1">
      <alignment vertical="center" wrapText="1"/>
    </xf>
    <xf numFmtId="0" fontId="43" fillId="6" borderId="0" xfId="0" applyFont="1" applyFill="1" applyAlignment="1">
      <alignment vertical="center" wrapText="1"/>
    </xf>
    <xf numFmtId="0" fontId="43" fillId="19" borderId="0" xfId="0" applyFont="1" applyFill="1" applyAlignment="1">
      <alignment vertical="center" wrapText="1"/>
    </xf>
    <xf numFmtId="0" fontId="3" fillId="0" borderId="0" xfId="0" applyFont="1" applyAlignment="1">
      <alignment vertical="center" wrapText="1"/>
    </xf>
    <xf numFmtId="0" fontId="43" fillId="6"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44" fillId="0" borderId="0" xfId="2"/>
    <xf numFmtId="0" fontId="42" fillId="11" borderId="18" xfId="0" applyFont="1" applyFill="1" applyBorder="1" applyAlignment="1">
      <alignment horizontal="left" vertical="top" wrapText="1"/>
    </xf>
    <xf numFmtId="0" fontId="0" fillId="12" borderId="22" xfId="0" applyFill="1" applyBorder="1" applyAlignment="1">
      <alignment horizontal="left" vertical="center" wrapText="1"/>
    </xf>
    <xf numFmtId="0" fontId="42" fillId="6" borderId="0" xfId="0" applyFont="1" applyFill="1" applyAlignment="1">
      <alignment horizontal="center" vertical="center" wrapText="1"/>
    </xf>
    <xf numFmtId="0" fontId="46" fillId="20" borderId="0" xfId="0" applyFont="1" applyFill="1" applyAlignment="1">
      <alignment horizontal="center" vertical="center" wrapText="1"/>
    </xf>
    <xf numFmtId="0" fontId="3" fillId="0" borderId="0" xfId="0" applyFont="1" applyAlignment="1">
      <alignment vertical="top"/>
    </xf>
    <xf numFmtId="0" fontId="0" fillId="0" borderId="0" xfId="0" applyAlignment="1">
      <alignment wrapText="1"/>
    </xf>
    <xf numFmtId="0" fontId="0" fillId="0" borderId="0" xfId="0" applyAlignment="1">
      <alignment horizontal="left" wrapText="1"/>
    </xf>
    <xf numFmtId="0" fontId="0" fillId="0" borderId="0" xfId="0"/>
    <xf numFmtId="0" fontId="20" fillId="13" borderId="27" xfId="0" applyFont="1" applyFill="1" applyBorder="1" applyAlignment="1">
      <alignment horizontal="left" vertical="center" wrapText="1"/>
    </xf>
    <xf numFmtId="0" fontId="20" fillId="13" borderId="28" xfId="0" applyFont="1" applyFill="1" applyBorder="1" applyAlignment="1">
      <alignment horizontal="left" vertical="center" wrapText="1"/>
    </xf>
    <xf numFmtId="0" fontId="42" fillId="11" borderId="25" xfId="0" applyFont="1" applyFill="1" applyBorder="1" applyAlignment="1">
      <alignment horizontal="center" vertical="top" wrapText="1"/>
    </xf>
    <xf numFmtId="0" fontId="42" fillId="11" borderId="26" xfId="0" applyFont="1" applyFill="1" applyBorder="1" applyAlignment="1">
      <alignment horizontal="center" vertical="top" wrapText="1"/>
    </xf>
    <xf numFmtId="0" fontId="42" fillId="11" borderId="29" xfId="0" applyFont="1" applyFill="1" applyBorder="1" applyAlignment="1">
      <alignment horizontal="center" vertical="top" wrapText="1"/>
    </xf>
    <xf numFmtId="0" fontId="42" fillId="11" borderId="30" xfId="0" applyFont="1" applyFill="1" applyBorder="1" applyAlignment="1">
      <alignment horizontal="center" vertical="top" wrapText="1"/>
    </xf>
  </cellXfs>
  <cellStyles count="3">
    <cellStyle name="Explanatory Text" xfId="2" builtinId="53"/>
    <cellStyle name="Hyperlink" xfId="1" builtinId="8"/>
    <cellStyle name="Normal" xfId="0" builtinId="0"/>
  </cellStyles>
  <dxfs count="10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79998168889431442"/>
        </patternFill>
      </fill>
    </dxf>
    <dxf>
      <fill>
        <patternFill>
          <bgColor theme="5" tint="0.59996337778862885"/>
        </patternFill>
      </fill>
    </dxf>
    <dxf>
      <fill>
        <patternFill>
          <bgColor rgb="FFFFCCCC"/>
        </patternFill>
      </fill>
    </dxf>
    <dxf>
      <font>
        <color theme="0" tint="-0.499984740745262"/>
      </font>
      <fill>
        <patternFill>
          <bgColor theme="0" tint="-4.9989318521683403E-2"/>
        </patternFill>
      </fill>
    </dxf>
    <dxf>
      <fill>
        <patternFill>
          <bgColor theme="9" tint="0.79998168889431442"/>
        </patternFill>
      </fill>
    </dxf>
    <dxf>
      <fill>
        <patternFill>
          <bgColor theme="5" tint="0.59996337778862885"/>
        </patternFill>
      </fill>
    </dxf>
    <dxf>
      <fill>
        <patternFill>
          <bgColor rgb="FFFFCCCC"/>
        </patternFill>
      </fill>
    </dxf>
    <dxf>
      <fill>
        <patternFill>
          <bgColor theme="9" tint="0.79998168889431442"/>
        </patternFill>
      </fill>
    </dxf>
    <dxf>
      <fill>
        <patternFill>
          <bgColor theme="5" tint="0.59996337778862885"/>
        </patternFill>
      </fill>
    </dxf>
    <dxf>
      <fill>
        <patternFill>
          <bgColor rgb="FFFFCCCC"/>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theme="9" tint="0.79998168889431442"/>
        </patternFill>
      </fill>
    </dxf>
    <dxf>
      <fill>
        <patternFill>
          <bgColor theme="5" tint="0.59996337778862885"/>
        </patternFill>
      </fill>
    </dxf>
    <dxf>
      <fill>
        <patternFill>
          <bgColor rgb="FFFFCCCC"/>
        </patternFill>
      </fill>
    </dxf>
    <dxf>
      <fill>
        <patternFill>
          <bgColor theme="5" tint="0.59996337778862885"/>
        </patternFill>
      </fill>
    </dxf>
    <dxf>
      <fill>
        <patternFill>
          <bgColor rgb="FFFFCCCC"/>
        </patternFill>
      </fill>
    </dxf>
    <dxf>
      <fill>
        <patternFill>
          <bgColor theme="9" tint="0.79998168889431442"/>
        </patternFill>
      </fill>
    </dxf>
    <dxf>
      <fill>
        <patternFill>
          <bgColor theme="6" tint="0.39994506668294322"/>
        </patternFill>
      </fill>
    </dxf>
    <dxf>
      <font>
        <color rgb="FF9C5700"/>
      </font>
      <fill>
        <patternFill>
          <bgColor rgb="FFFFEB9C"/>
        </patternFill>
      </fill>
    </dxf>
    <dxf>
      <fill>
        <patternFill>
          <bgColor theme="9" tint="0.79998168889431442"/>
        </patternFill>
      </fill>
    </dxf>
    <dxf>
      <fill>
        <patternFill>
          <bgColor theme="5" tint="0.59996337778862885"/>
        </patternFill>
      </fill>
    </dxf>
    <dxf>
      <fill>
        <patternFill>
          <bgColor rgb="FFFFCCCC"/>
        </patternFill>
      </fill>
    </dxf>
    <dxf>
      <fill>
        <patternFill>
          <bgColor theme="6" tint="0.39994506668294322"/>
        </patternFill>
      </fill>
    </dxf>
    <dxf>
      <fill>
        <patternFill>
          <bgColor theme="6" tint="0.39994506668294322"/>
        </patternFill>
      </fill>
    </dxf>
    <dxf>
      <fill>
        <patternFill>
          <bgColor theme="9" tint="0.79998168889431442"/>
        </patternFill>
      </fill>
    </dxf>
    <dxf>
      <fill>
        <patternFill>
          <bgColor theme="5" tint="0.59996337778862885"/>
        </patternFill>
      </fill>
    </dxf>
    <dxf>
      <fill>
        <patternFill>
          <bgColor rgb="FFFFCCCC"/>
        </patternFill>
      </fill>
    </dxf>
    <dxf>
      <font>
        <color rgb="FF9C5700"/>
      </font>
      <fill>
        <patternFill>
          <bgColor rgb="FFFFEB9C"/>
        </patternFill>
      </fill>
    </dxf>
    <dxf>
      <fill>
        <patternFill>
          <bgColor rgb="FFFFCCCC"/>
        </patternFill>
      </fill>
    </dxf>
    <dxf>
      <fill>
        <patternFill>
          <bgColor theme="5" tint="0.59996337778862885"/>
        </patternFill>
      </fill>
    </dxf>
    <dxf>
      <fill>
        <patternFill>
          <bgColor theme="9" tint="0.79998168889431442"/>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FFCCCC"/>
        </patternFill>
      </fill>
    </dxf>
    <dxf>
      <fill>
        <patternFill>
          <bgColor theme="5" tint="0.59996337778862885"/>
        </patternFill>
      </fill>
    </dxf>
    <dxf>
      <fill>
        <patternFill>
          <bgColor theme="9" tint="0.79998168889431442"/>
        </patternFill>
      </fill>
    </dxf>
    <dxf>
      <font>
        <color rgb="FF9C5700"/>
      </font>
      <fill>
        <patternFill>
          <bgColor rgb="FFFFEB9C"/>
        </patternFill>
      </fill>
    </dxf>
    <dxf>
      <fill>
        <patternFill>
          <bgColor theme="9" tint="0.79998168889431442"/>
        </patternFill>
      </fill>
    </dxf>
    <dxf>
      <fill>
        <patternFill>
          <bgColor theme="5" tint="0.59996337778862885"/>
        </patternFill>
      </fill>
    </dxf>
    <dxf>
      <fill>
        <patternFill>
          <bgColor rgb="FFFFCCCC"/>
        </patternFill>
      </fill>
    </dxf>
    <dxf>
      <fill>
        <patternFill>
          <bgColor theme="6" tint="0.39994506668294322"/>
        </patternFill>
      </fill>
    </dxf>
    <dxf>
      <font>
        <color rgb="FF9C5700"/>
      </font>
      <fill>
        <patternFill>
          <bgColor rgb="FFFFEB9C"/>
        </patternFill>
      </fill>
    </dxf>
    <dxf>
      <fill>
        <patternFill>
          <bgColor rgb="FFFFCCCC"/>
        </patternFill>
      </fill>
    </dxf>
    <dxf>
      <fill>
        <patternFill>
          <bgColor theme="5" tint="0.59996337778862885"/>
        </patternFill>
      </fill>
    </dxf>
    <dxf>
      <fill>
        <patternFill>
          <bgColor theme="9" tint="0.79998168889431442"/>
        </patternFill>
      </fill>
    </dxf>
    <dxf>
      <fill>
        <patternFill>
          <bgColor theme="6"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79998168889431442"/>
        </patternFill>
      </fill>
    </dxf>
    <dxf>
      <fill>
        <patternFill>
          <bgColor rgb="FFFFCCCC"/>
        </patternFill>
      </fill>
    </dxf>
    <dxf>
      <font>
        <b val="0"/>
        <i/>
        <color theme="2" tint="-0.24994659260841701"/>
      </font>
      <fill>
        <patternFill>
          <bgColor theme="6" tint="0.59996337778862885"/>
        </patternFill>
      </fill>
    </dxf>
    <dxf>
      <fill>
        <patternFill>
          <bgColor theme="9" tint="0.79998168889431442"/>
        </patternFill>
      </fill>
    </dxf>
    <dxf>
      <fill>
        <patternFill>
          <bgColor rgb="FFFFCCCC"/>
        </patternFill>
      </fill>
    </dxf>
    <dxf>
      <font>
        <color rgb="FF9C5700"/>
      </font>
      <fill>
        <patternFill>
          <bgColor rgb="FFFFEB9C"/>
        </patternFill>
      </fill>
    </dxf>
    <dxf>
      <font>
        <color rgb="FF9C5700"/>
      </font>
      <fill>
        <patternFill>
          <bgColor rgb="FFFFEB9C"/>
        </patternFill>
      </fill>
    </dxf>
    <dxf>
      <font>
        <color rgb="FF9C5700"/>
      </font>
      <fill>
        <patternFill>
          <bgColor theme="0" tint="-0.14996795556505021"/>
        </patternFill>
      </fill>
    </dxf>
    <dxf>
      <fill>
        <patternFill>
          <bgColor rgb="FFFFCCCC"/>
        </patternFill>
      </fill>
    </dxf>
    <dxf>
      <fill>
        <patternFill>
          <bgColor theme="9" tint="0.79998168889431442"/>
        </patternFill>
      </fill>
    </dxf>
    <dxf>
      <font>
        <color theme="0" tint="-0.499984740745262"/>
      </font>
      <fill>
        <patternFill>
          <bgColor theme="0" tint="-4.9989318521683403E-2"/>
        </patternFill>
      </fill>
    </dxf>
    <dxf>
      <fill>
        <patternFill>
          <bgColor theme="5" tint="0.59996337778862885"/>
        </patternFill>
      </fill>
    </dxf>
    <dxf>
      <fill>
        <patternFill>
          <bgColor rgb="FFFFCCCC"/>
        </patternFill>
      </fill>
    </dxf>
    <dxf>
      <fill>
        <patternFill>
          <bgColor theme="5" tint="0.59996337778862885"/>
        </patternFill>
      </fill>
    </dxf>
    <dxf>
      <fill>
        <patternFill>
          <bgColor theme="9" tint="0.79998168889431442"/>
        </patternFill>
      </fill>
    </dxf>
    <dxf>
      <font>
        <color theme="0" tint="-0.499984740745262"/>
      </font>
      <fill>
        <patternFill>
          <bgColor theme="0" tint="-4.9989318521683403E-2"/>
        </patternFill>
      </fill>
    </dxf>
    <dxf>
      <fill>
        <patternFill>
          <bgColor rgb="FFFFCCCC"/>
        </patternFill>
      </fill>
    </dxf>
    <dxf>
      <fill>
        <patternFill>
          <bgColor theme="5" tint="0.59996337778862885"/>
        </patternFill>
      </fill>
    </dxf>
    <dxf>
      <fill>
        <patternFill>
          <bgColor theme="9" tint="0.79998168889431442"/>
        </patternFill>
      </fill>
    </dxf>
    <dxf>
      <font>
        <color theme="0" tint="-0.499984740745262"/>
      </font>
      <fill>
        <patternFill>
          <bgColor theme="0" tint="-4.9989318521683403E-2"/>
        </patternFill>
      </fill>
    </dxf>
    <dxf>
      <fill>
        <patternFill>
          <bgColor rgb="FFFFCCCC"/>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rgb="FFFFCCCC"/>
        </patternFill>
      </fill>
    </dxf>
    <dxf>
      <font>
        <color theme="0" tint="-0.499984740745262"/>
      </font>
      <fill>
        <patternFill>
          <bgColor theme="0" tint="-4.9989318521683403E-2"/>
        </patternFill>
      </fill>
    </dxf>
    <dxf>
      <fill>
        <patternFill>
          <bgColor theme="5" tint="0.59996337778862885"/>
        </patternFill>
      </fill>
    </dxf>
    <dxf>
      <fill>
        <patternFill>
          <bgColor theme="9" tint="0.79998168889431442"/>
        </patternFill>
      </fill>
    </dxf>
    <dxf>
      <fill>
        <patternFill>
          <bgColor rgb="FFFFCCCC"/>
        </patternFill>
      </fill>
    </dxf>
    <dxf>
      <fill>
        <patternFill>
          <bgColor rgb="FFFFCCCC"/>
        </patternFill>
      </fill>
    </dxf>
    <dxf>
      <fill>
        <patternFill>
          <bgColor theme="5" tint="0.59996337778862885"/>
        </patternFill>
      </fill>
    </dxf>
    <dxf>
      <fill>
        <patternFill>
          <bgColor theme="9" tint="0.79998168889431442"/>
        </patternFill>
      </fill>
    </dxf>
    <dxf>
      <font>
        <color theme="0" tint="-0.499984740745262"/>
      </font>
      <fill>
        <patternFill>
          <bgColor theme="0" tint="-4.9989318521683403E-2"/>
        </patternFill>
      </fill>
    </dxf>
    <dxf>
      <fill>
        <patternFill>
          <bgColor rgb="FFFFCCCC"/>
        </patternFill>
      </fill>
    </dxf>
    <dxf>
      <fill>
        <patternFill>
          <bgColor theme="5" tint="0.59996337778862885"/>
        </patternFill>
      </fill>
    </dxf>
    <dxf>
      <fill>
        <patternFill>
          <bgColor theme="9" tint="0.79998168889431442"/>
        </patternFill>
      </fill>
    </dxf>
    <dxf>
      <font>
        <color theme="0" tint="-0.499984740745262"/>
      </font>
      <fill>
        <patternFill>
          <bgColor theme="0" tint="-4.9989318521683403E-2"/>
        </patternFill>
      </fill>
    </dxf>
    <dxf>
      <fill>
        <patternFill>
          <bgColor rgb="FFFFCCCC"/>
        </patternFill>
      </fill>
    </dxf>
    <dxf>
      <fill>
        <patternFill>
          <bgColor theme="5" tint="0.59996337778862885"/>
        </patternFill>
      </fill>
    </dxf>
    <dxf>
      <fill>
        <patternFill>
          <bgColor theme="9" tint="0.79998168889431442"/>
        </patternFill>
      </fill>
    </dxf>
    <dxf>
      <fill>
        <patternFill>
          <bgColor theme="0" tint="-0.14996795556505021"/>
        </patternFill>
      </fill>
      <border>
        <left style="thin">
          <color auto="1"/>
        </left>
        <right style="thin">
          <color auto="1"/>
        </right>
        <top style="thin">
          <color auto="1"/>
        </top>
        <bottom style="thin">
          <color auto="1"/>
        </bottom>
      </border>
    </dxf>
    <dxf>
      <font>
        <color theme="5" tint="0.39994506668294322"/>
      </font>
      <fill>
        <patternFill patternType="solid">
          <fgColor auto="1"/>
          <bgColor theme="5" tint="0.39994506668294322"/>
        </patternFill>
      </fill>
    </dxf>
    <dxf>
      <fill>
        <patternFill>
          <bgColor theme="0" tint="-4.9989318521683403E-2"/>
        </patternFill>
      </fill>
      <border>
        <left style="thin">
          <color theme="0" tint="-0.14996795556505021"/>
        </left>
        <right style="thin">
          <color auto="1"/>
        </right>
        <top style="thin">
          <color theme="0" tint="-0.14996795556505021"/>
        </top>
        <bottom style="thin">
          <color auto="1"/>
        </bottom>
        <vertical/>
        <horizontal/>
      </border>
    </dxf>
    <dxf>
      <border>
        <left style="thin">
          <color auto="1"/>
        </left>
        <right style="thin">
          <color theme="0" tint="-0.14996795556505021"/>
        </right>
        <top style="thin">
          <color auto="1"/>
        </top>
        <bottom style="thin">
          <color theme="0" tint="-0.14996795556505021"/>
        </bottom>
        <vertical/>
        <horizontal/>
      </border>
    </dxf>
  </dxfs>
  <tableStyles count="0" defaultTableStyle="TableStyleMedium2" defaultPivotStyle="PivotStyleLight16"/>
  <colors>
    <mruColors>
      <color rgb="FFEFE5F7"/>
      <color rgb="FFE2EFDA"/>
      <color rgb="FFF8CBA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16</xdr:col>
      <xdr:colOff>9525</xdr:colOff>
      <xdr:row>33</xdr:row>
      <xdr:rowOff>180975</xdr:rowOff>
    </xdr:to>
    <xdr:pic>
      <xdr:nvPicPr>
        <xdr:cNvPr id="2" name="Picture 5">
          <a:extLst>
            <a:ext uri="{FF2B5EF4-FFF2-40B4-BE49-F238E27FC236}">
              <a16:creationId xmlns:a16="http://schemas.microsoft.com/office/drawing/2014/main" id="{06C07BEA-1AA5-8B07-4955-3F9E22D9C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9667875" cy="636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c Blum" id="{BFA4236B-AC6A-4950-8499-75C2B0A79C9D}" userId="S::ccblum@uq.edu.au::bbb4e7de-4d40-4690-8879-a11800564a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0" dT="2023-10-19T01:07:02.67" personId="{BFA4236B-AC6A-4950-8499-75C2B0A79C9D}" id="{B9A0AFBE-46B9-40F3-8D95-D5602C6AB0A8}">
    <text>Make % of Application Annual Budget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staff.uq.edu.au/data-security-controls-standard" TargetMode="External"/><Relationship Id="rId13" Type="http://schemas.openxmlformats.org/officeDocument/2006/relationships/hyperlink" Target="https://staff.uq.edu.au/network-security-controls-standard" TargetMode="External"/><Relationship Id="rId18" Type="http://schemas.openxmlformats.org/officeDocument/2006/relationships/printerSettings" Target="../printerSettings/printerSettings2.bin"/><Relationship Id="rId3" Type="http://schemas.openxmlformats.org/officeDocument/2006/relationships/hyperlink" Target="https://staff.uq.edu.au/secure-software-development-framework" TargetMode="External"/><Relationship Id="rId7" Type="http://schemas.openxmlformats.org/officeDocument/2006/relationships/hyperlink" Target="https://staff.uq.edu.au/access-and-privileges-management-framework" TargetMode="External"/><Relationship Id="rId12" Type="http://schemas.openxmlformats.org/officeDocument/2006/relationships/hyperlink" Target="https://staff.uq.edu.au/application-integration-security-standard" TargetMode="External"/><Relationship Id="rId17" Type="http://schemas.openxmlformats.org/officeDocument/2006/relationships/hyperlink" Target="https://staff.uq.edu.au/software-vulnerability-management-framework" TargetMode="External"/><Relationship Id="rId2" Type="http://schemas.openxmlformats.org/officeDocument/2006/relationships/hyperlink" Target="https://staff.uq.edu.au/patch-management-procedure" TargetMode="External"/><Relationship Id="rId16" Type="http://schemas.openxmlformats.org/officeDocument/2006/relationships/hyperlink" Target="https://staff.uq.edu.au/software-vulnerability-management-framework" TargetMode="External"/><Relationship Id="rId1" Type="http://schemas.openxmlformats.org/officeDocument/2006/relationships/hyperlink" Target="https://staff.uq.edu.au/access-and-privileges-management-framework" TargetMode="External"/><Relationship Id="rId6" Type="http://schemas.openxmlformats.org/officeDocument/2006/relationships/hyperlink" Target="https://serviceview.its.uq.edu.au/" TargetMode="External"/><Relationship Id="rId11" Type="http://schemas.openxmlformats.org/officeDocument/2006/relationships/hyperlink" Target="https://staff.uq.edu.au/application-integration-security-standard" TargetMode="External"/><Relationship Id="rId5" Type="http://schemas.openxmlformats.org/officeDocument/2006/relationships/hyperlink" Target="https://staff.uq.edu.au/data-security-controls-standard" TargetMode="External"/><Relationship Id="rId15" Type="http://schemas.openxmlformats.org/officeDocument/2006/relationships/hyperlink" Target="https://staff.uq.edu.au/software-vulnerability-management-framework" TargetMode="External"/><Relationship Id="rId10" Type="http://schemas.openxmlformats.org/officeDocument/2006/relationships/hyperlink" Target="https://staff.uq.edu.au/endpoint-security-standard" TargetMode="External"/><Relationship Id="rId4" Type="http://schemas.openxmlformats.org/officeDocument/2006/relationships/hyperlink" Target="https://staff.uq.edu.au/network-security-controls-standard" TargetMode="External"/><Relationship Id="rId9" Type="http://schemas.openxmlformats.org/officeDocument/2006/relationships/hyperlink" Target="https://staff.uq.edu.au/endpoint-security-standard" TargetMode="External"/><Relationship Id="rId14" Type="http://schemas.openxmlformats.org/officeDocument/2006/relationships/hyperlink" Target="https://staff.uq.edu.au/software-vulnerability-management-framewor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7E67-271E-4147-A071-FDE0EF621A28}">
  <dimension ref="A1:B24"/>
  <sheetViews>
    <sheetView tabSelected="1" zoomScale="130" zoomScaleNormal="130" workbookViewId="0">
      <selection sqref="A1:B1"/>
    </sheetView>
  </sheetViews>
  <sheetFormatPr defaultRowHeight="14.4"/>
  <cols>
    <col min="1" max="1" width="12.33203125" customWidth="1"/>
    <col min="2" max="2" width="115.6640625" style="17" customWidth="1"/>
  </cols>
  <sheetData>
    <row r="1" spans="1:2" ht="45" customHeight="1">
      <c r="A1" s="140" t="s">
        <v>0</v>
      </c>
      <c r="B1" s="140"/>
    </row>
    <row r="2" spans="1:2" ht="15" customHeight="1">
      <c r="A2" s="139" t="s">
        <v>1</v>
      </c>
      <c r="B2" s="139"/>
    </row>
    <row r="3" spans="1:2" ht="30.75" customHeight="1">
      <c r="A3" s="139" t="s">
        <v>2</v>
      </c>
      <c r="B3" s="139"/>
    </row>
    <row r="4" spans="1:2">
      <c r="A4" s="139" t="s">
        <v>3</v>
      </c>
      <c r="B4" s="139"/>
    </row>
    <row r="6" spans="1:2">
      <c r="A6" t="s">
        <v>4</v>
      </c>
      <c r="B6" s="17" t="s">
        <v>5</v>
      </c>
    </row>
    <row r="7" spans="1:2">
      <c r="A7" s="73" t="s">
        <v>6</v>
      </c>
      <c r="B7" s="17" t="s">
        <v>7</v>
      </c>
    </row>
    <row r="8" spans="1:2">
      <c r="A8" s="70" t="s">
        <v>8</v>
      </c>
      <c r="B8" s="17" t="s">
        <v>9</v>
      </c>
    </row>
    <row r="9" spans="1:2">
      <c r="A9" s="74" t="s">
        <v>10</v>
      </c>
      <c r="B9" s="17" t="s">
        <v>11</v>
      </c>
    </row>
    <row r="10" spans="1:2">
      <c r="A10" s="75" t="s">
        <v>12</v>
      </c>
      <c r="B10" s="17" t="s">
        <v>13</v>
      </c>
    </row>
    <row r="12" spans="1:2" ht="28.2" customHeight="1">
      <c r="A12" s="139" t="s">
        <v>14</v>
      </c>
      <c r="B12" s="139"/>
    </row>
    <row r="13" spans="1:2">
      <c r="A13" s="141" t="s">
        <v>15</v>
      </c>
      <c r="B13" s="141"/>
    </row>
    <row r="14" spans="1:2">
      <c r="A14" s="141" t="s">
        <v>16</v>
      </c>
      <c r="B14" s="141"/>
    </row>
    <row r="15" spans="1:2" ht="42.75" customHeight="1">
      <c r="A15" s="139" t="s">
        <v>17</v>
      </c>
      <c r="B15" s="139"/>
    </row>
    <row r="16" spans="1:2" ht="31.5" customHeight="1">
      <c r="A16" s="139" t="s">
        <v>18</v>
      </c>
      <c r="B16" s="139"/>
    </row>
    <row r="18" spans="1:2">
      <c r="A18" s="18" t="s">
        <v>19</v>
      </c>
    </row>
    <row r="20" spans="1:2">
      <c r="A20" s="18" t="s">
        <v>20</v>
      </c>
    </row>
    <row r="21" spans="1:2">
      <c r="A21" t="s">
        <v>21</v>
      </c>
      <c r="B21" s="17" t="s">
        <v>22</v>
      </c>
    </row>
    <row r="22" spans="1:2">
      <c r="A22" t="s">
        <v>23</v>
      </c>
      <c r="B22" s="17" t="s">
        <v>24</v>
      </c>
    </row>
    <row r="23" spans="1:2">
      <c r="A23" t="s">
        <v>25</v>
      </c>
      <c r="B23" s="17" t="s">
        <v>26</v>
      </c>
    </row>
    <row r="24" spans="1:2">
      <c r="A24" t="s">
        <v>27</v>
      </c>
      <c r="B24" s="17" t="s">
        <v>28</v>
      </c>
    </row>
  </sheetData>
  <mergeCells count="9">
    <mergeCell ref="A15:B15"/>
    <mergeCell ref="A16:B16"/>
    <mergeCell ref="A1:B1"/>
    <mergeCell ref="A2:B2"/>
    <mergeCell ref="A3:B3"/>
    <mergeCell ref="A4:B4"/>
    <mergeCell ref="A13:B13"/>
    <mergeCell ref="A14:B14"/>
    <mergeCell ref="A12:B1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50CE-7C42-454E-ACCE-F6CE40DCC7CA}">
  <dimension ref="A1:H33"/>
  <sheetViews>
    <sheetView showGridLines="0" zoomScale="130" zoomScaleNormal="130" workbookViewId="0"/>
  </sheetViews>
  <sheetFormatPr defaultRowHeight="14.4"/>
  <cols>
    <col min="1" max="1" width="7.5546875" style="91" customWidth="1"/>
    <col min="2" max="2" width="39.6640625" customWidth="1"/>
    <col min="3" max="3" width="42.6640625" customWidth="1"/>
    <col min="4" max="4" width="54.109375" customWidth="1"/>
  </cols>
  <sheetData>
    <row r="1" spans="1:8" ht="23.4">
      <c r="A1" s="133"/>
      <c r="B1" s="83" t="s">
        <v>29</v>
      </c>
      <c r="C1" s="83"/>
      <c r="D1" s="84"/>
      <c r="E1" s="84"/>
      <c r="F1" s="85"/>
      <c r="G1" s="86"/>
      <c r="H1" s="17"/>
    </row>
    <row r="2" spans="1:8" ht="11.25" customHeight="1">
      <c r="B2" s="85"/>
      <c r="C2" s="85"/>
      <c r="D2" s="84"/>
      <c r="E2" s="84"/>
      <c r="F2" s="85"/>
      <c r="G2" s="86"/>
      <c r="H2" s="17"/>
    </row>
    <row r="3" spans="1:8" ht="18.75" customHeight="1">
      <c r="A3" s="91" t="s">
        <v>30</v>
      </c>
      <c r="B3" s="95" t="s">
        <v>31</v>
      </c>
      <c r="C3" s="96"/>
      <c r="E3" s="84"/>
      <c r="F3" s="88"/>
      <c r="G3" s="89"/>
      <c r="H3" s="17"/>
    </row>
    <row r="4" spans="1:8" ht="18.75" customHeight="1">
      <c r="A4" s="91" t="s">
        <v>32</v>
      </c>
      <c r="B4" s="95" t="s">
        <v>33</v>
      </c>
      <c r="C4" s="97"/>
      <c r="D4" s="90"/>
      <c r="E4" s="88"/>
      <c r="F4" s="88"/>
      <c r="G4" s="89"/>
      <c r="H4" s="17"/>
    </row>
    <row r="5" spans="1:8" ht="18.75" customHeight="1">
      <c r="A5" s="91" t="s">
        <v>34</v>
      </c>
      <c r="B5" s="95" t="s">
        <v>35</v>
      </c>
      <c r="C5" s="96"/>
      <c r="D5" s="88"/>
      <c r="E5" s="84"/>
      <c r="F5" s="88"/>
      <c r="G5" s="89"/>
      <c r="H5" s="17"/>
    </row>
    <row r="6" spans="1:8" ht="18.75" customHeight="1">
      <c r="A6" s="91" t="s">
        <v>36</v>
      </c>
      <c r="B6" s="95" t="s">
        <v>37</v>
      </c>
      <c r="C6" s="96"/>
      <c r="D6" s="88"/>
      <c r="E6" s="88"/>
      <c r="F6" s="88"/>
      <c r="G6" s="89"/>
      <c r="H6" s="17"/>
    </row>
    <row r="7" spans="1:8" ht="18.75" customHeight="1">
      <c r="A7" s="91" t="s">
        <v>38</v>
      </c>
      <c r="B7" s="95" t="s">
        <v>39</v>
      </c>
      <c r="C7" s="97"/>
      <c r="D7" s="88"/>
      <c r="E7" s="88"/>
      <c r="F7" s="88"/>
      <c r="G7" s="89"/>
      <c r="H7" s="17"/>
    </row>
    <row r="8" spans="1:8">
      <c r="B8" s="87"/>
      <c r="C8" s="87"/>
      <c r="D8" s="88"/>
      <c r="E8" s="88"/>
      <c r="F8" s="88"/>
      <c r="G8" s="89"/>
      <c r="H8" s="17"/>
    </row>
    <row r="9" spans="1:8" ht="37.5" customHeight="1">
      <c r="A9" s="91" t="s">
        <v>40</v>
      </c>
      <c r="B9" s="95" t="s">
        <v>41</v>
      </c>
      <c r="C9" s="98" t="s">
        <v>42</v>
      </c>
      <c r="F9" s="60"/>
      <c r="G9" s="17"/>
    </row>
    <row r="10" spans="1:8" ht="37.5" customHeight="1">
      <c r="A10" s="91" t="s">
        <v>43</v>
      </c>
      <c r="B10" s="95" t="s">
        <v>44</v>
      </c>
      <c r="C10" s="98" t="s">
        <v>45</v>
      </c>
      <c r="F10" s="88"/>
      <c r="G10" s="89"/>
      <c r="H10" s="17"/>
    </row>
    <row r="11" spans="1:8" ht="37.5" customHeight="1">
      <c r="A11" s="91" t="s">
        <v>46</v>
      </c>
      <c r="B11" s="95" t="s">
        <v>47</v>
      </c>
      <c r="C11" s="99" t="str">
        <f>VLOOKUP(Confidentiality,ConfidentialityImpactScores,2,FALSE)</f>
        <v>Major (4)</v>
      </c>
      <c r="F11" s="60"/>
      <c r="G11" s="17"/>
    </row>
    <row r="12" spans="1:8" ht="37.5" customHeight="1">
      <c r="A12" s="91" t="s">
        <v>48</v>
      </c>
      <c r="B12" s="95" t="s">
        <v>49</v>
      </c>
      <c r="C12" s="100" t="s">
        <v>50</v>
      </c>
      <c r="E12" s="88"/>
      <c r="F12" s="89"/>
      <c r="G12" s="17"/>
    </row>
    <row r="13" spans="1:8" ht="37.5" customHeight="1">
      <c r="A13" s="91" t="s">
        <v>51</v>
      </c>
      <c r="B13" s="95" t="s">
        <v>52</v>
      </c>
      <c r="C13" s="100" t="s">
        <v>53</v>
      </c>
      <c r="F13" s="88"/>
      <c r="G13" s="89"/>
      <c r="H13" s="17"/>
    </row>
    <row r="14" spans="1:8">
      <c r="B14" s="87"/>
      <c r="C14" s="87"/>
      <c r="F14" s="88"/>
      <c r="G14" s="89"/>
      <c r="H14" s="17"/>
    </row>
    <row r="15" spans="1:8" ht="18.75" customHeight="1">
      <c r="A15" s="91" t="s">
        <v>54</v>
      </c>
      <c r="B15" s="95" t="s">
        <v>55</v>
      </c>
      <c r="C15" s="98"/>
      <c r="F15" s="88"/>
      <c r="G15" s="89"/>
      <c r="H15" s="17"/>
    </row>
    <row r="16" spans="1:8" ht="18.75" customHeight="1">
      <c r="A16" s="91" t="s">
        <v>56</v>
      </c>
      <c r="B16" s="95" t="s">
        <v>57</v>
      </c>
      <c r="C16" s="98"/>
      <c r="F16" s="88"/>
      <c r="G16" s="89"/>
      <c r="H16" s="17"/>
    </row>
    <row r="17" spans="1:8" ht="18.75" customHeight="1">
      <c r="A17" s="91" t="s">
        <v>58</v>
      </c>
      <c r="B17" s="95" t="s">
        <v>59</v>
      </c>
      <c r="C17" s="98"/>
      <c r="F17" s="88"/>
      <c r="G17" s="89"/>
      <c r="H17" s="17"/>
    </row>
    <row r="18" spans="1:8" ht="18.75" customHeight="1">
      <c r="A18" s="91" t="s">
        <v>60</v>
      </c>
      <c r="B18" s="95" t="s">
        <v>61</v>
      </c>
      <c r="C18" s="98"/>
      <c r="F18" s="88"/>
      <c r="G18" s="89"/>
      <c r="H18" s="17"/>
    </row>
    <row r="19" spans="1:8" ht="18.75" customHeight="1">
      <c r="A19" s="91" t="s">
        <v>62</v>
      </c>
      <c r="B19" s="95" t="s">
        <v>63</v>
      </c>
      <c r="C19" s="98"/>
      <c r="F19" s="88"/>
      <c r="G19" s="89"/>
      <c r="H19" s="17"/>
    </row>
    <row r="20" spans="1:8" ht="18.75" customHeight="1">
      <c r="A20" s="91" t="s">
        <v>64</v>
      </c>
      <c r="B20" s="95" t="s">
        <v>65</v>
      </c>
      <c r="C20" s="98"/>
      <c r="D20" s="90"/>
      <c r="F20" s="88"/>
      <c r="G20" s="89"/>
      <c r="H20" s="17"/>
    </row>
    <row r="21" spans="1:8" ht="18.75" customHeight="1">
      <c r="A21" s="91" t="s">
        <v>66</v>
      </c>
      <c r="B21" s="95" t="s">
        <v>67</v>
      </c>
      <c r="C21" s="98"/>
      <c r="D21" s="90"/>
      <c r="E21" s="88"/>
      <c r="F21" s="88"/>
      <c r="G21" s="89"/>
      <c r="H21" s="17"/>
    </row>
    <row r="22" spans="1:8" ht="18.75" customHeight="1">
      <c r="A22" s="91" t="s">
        <v>68</v>
      </c>
      <c r="B22" s="95" t="s">
        <v>69</v>
      </c>
      <c r="C22" s="98"/>
      <c r="D22" s="90"/>
      <c r="E22" s="88"/>
      <c r="F22" s="88"/>
      <c r="G22" s="89"/>
      <c r="H22" s="17"/>
    </row>
    <row r="23" spans="1:8" ht="18.75" customHeight="1">
      <c r="A23" s="91" t="s">
        <v>70</v>
      </c>
      <c r="B23" s="95" t="s">
        <v>71</v>
      </c>
      <c r="C23" s="98"/>
      <c r="F23" s="88"/>
      <c r="G23" s="89"/>
      <c r="H23" s="17"/>
    </row>
    <row r="24" spans="1:8" ht="28.8">
      <c r="A24" s="91" t="s">
        <v>72</v>
      </c>
      <c r="B24" s="95" t="s">
        <v>73</v>
      </c>
      <c r="C24" s="98"/>
      <c r="F24" s="88"/>
      <c r="G24" s="89"/>
      <c r="H24" s="17"/>
    </row>
    <row r="25" spans="1:8" ht="28.8">
      <c r="A25" s="91" t="s">
        <v>74</v>
      </c>
      <c r="B25" s="95" t="s">
        <v>75</v>
      </c>
      <c r="C25" s="98"/>
      <c r="D25" s="94"/>
      <c r="F25" s="88"/>
      <c r="G25" s="89"/>
      <c r="H25" s="17"/>
    </row>
    <row r="26" spans="1:8">
      <c r="B26" s="87"/>
      <c r="C26" s="87"/>
      <c r="D26" s="87"/>
      <c r="F26" s="88"/>
      <c r="G26" s="89"/>
      <c r="H26" s="17"/>
    </row>
    <row r="27" spans="1:8">
      <c r="A27" s="91" t="s">
        <v>76</v>
      </c>
      <c r="B27" s="95" t="s">
        <v>77</v>
      </c>
      <c r="C27" s="100"/>
    </row>
    <row r="29" spans="1:8" ht="21">
      <c r="B29" s="101" t="s">
        <v>78</v>
      </c>
    </row>
    <row r="30" spans="1:8" ht="22.5" customHeight="1">
      <c r="A30" s="91" t="s">
        <v>79</v>
      </c>
      <c r="B30" s="95" t="s">
        <v>80</v>
      </c>
      <c r="C30" s="93" t="str">
        <f>VLOOKUP(HighestConfidentiality,ConfidentialityImpactScores,4,FALSE)</f>
        <v>SENSITIVE</v>
      </c>
      <c r="F30" s="88"/>
      <c r="G30" s="89"/>
      <c r="H30" s="17"/>
    </row>
    <row r="31" spans="1:8" ht="22.5" customHeight="1">
      <c r="A31" s="91" t="s">
        <v>81</v>
      </c>
      <c r="B31" s="95" t="s">
        <v>82</v>
      </c>
      <c r="C31" s="93" t="str">
        <f>VLOOKUP(IntegrityImpactRating,ImpactScores,4,FALSE)</f>
        <v>MINOR (INT)</v>
      </c>
      <c r="F31" s="60"/>
      <c r="G31" s="17"/>
    </row>
    <row r="32" spans="1:8" ht="22.5" customHeight="1">
      <c r="A32" s="91" t="s">
        <v>83</v>
      </c>
      <c r="B32" s="95" t="s">
        <v>84</v>
      </c>
      <c r="C32" s="93" t="str">
        <f>VLOOKUP(AvailabilityImpactRating,ImpactScores,5,FALSE)</f>
        <v>MODERATE (AV)</v>
      </c>
      <c r="E32" s="88"/>
      <c r="F32" s="89"/>
      <c r="G32" s="17"/>
    </row>
    <row r="33" spans="1:8" ht="22.5" customHeight="1">
      <c r="A33" s="91" t="s">
        <v>85</v>
      </c>
      <c r="B33" s="95" t="s">
        <v>86</v>
      </c>
      <c r="C33" s="93" t="str" cm="1">
        <f t="array" ref="C33">INDEX(TierImpactRatings,MaxImpactScore)</f>
        <v>Tier 1</v>
      </c>
      <c r="F33" s="88"/>
      <c r="G33" s="89"/>
      <c r="H33" s="17"/>
    </row>
  </sheetData>
  <conditionalFormatting sqref="C3:C7 C27">
    <cfRule type="containsBlanks" dxfId="103" priority="3">
      <formula>LEN(TRIM(C3))=0</formula>
    </cfRule>
  </conditionalFormatting>
  <conditionalFormatting sqref="C9:C10 C12:C13 C15:C25">
    <cfRule type="containsBlanks" dxfId="102" priority="8">
      <formula>LEN(TRIM(C9))=0</formula>
    </cfRule>
  </conditionalFormatting>
  <conditionalFormatting sqref="C11 C30:C33">
    <cfRule type="containsErrors" dxfId="101" priority="9">
      <formula>ISERROR(C11)</formula>
    </cfRule>
  </conditionalFormatting>
  <conditionalFormatting sqref="D25">
    <cfRule type="expression" dxfId="100" priority="10">
      <formula>AND($C$25="Yes - please provide details",$D$25="")</formula>
    </cfRule>
  </conditionalFormatting>
  <dataValidations count="16">
    <dataValidation type="list" allowBlank="1" showInputMessage="1" showErrorMessage="1" sqref="C12:C14" xr:uid="{927450DA-9804-42B4-BC95-5F5A33E16E93}">
      <formula1>Impact</formula1>
    </dataValidation>
    <dataValidation type="list" allowBlank="1" showInputMessage="1" showErrorMessage="1" sqref="C21" xr:uid="{29386D74-578B-465E-8D4B-4CA36802849E}">
      <formula1>SoftwareType</formula1>
    </dataValidation>
    <dataValidation type="list" allowBlank="1" showInputMessage="1" showErrorMessage="1" sqref="C19" xr:uid="{66B723F4-4A3C-4613-9512-3B91D0F23A01}">
      <formula1>"None, 1-5, &gt;5"</formula1>
    </dataValidation>
    <dataValidation type="list" allowBlank="1" showInputMessage="1" showErrorMessage="1" sqref="C22" xr:uid="{307D73B5-F0F9-4633-BBA2-C80EA2BB5731}">
      <formula1>ClientTypes</formula1>
    </dataValidation>
    <dataValidation type="list" allowBlank="1" showInputMessage="1" showErrorMessage="1" sqref="E21:E22" xr:uid="{00000000-0002-0000-0000-000002000000}">
      <formula1>"Developed, Highly customised, COTS"</formula1>
    </dataValidation>
    <dataValidation type="list" allowBlank="1" showInputMessage="1" showErrorMessage="1" sqref="C10" xr:uid="{7BD6E65E-1F38-4244-A1CE-EAB655F8ECD0}">
      <formula1>RecordsRatings</formula1>
    </dataValidation>
    <dataValidation type="list" allowBlank="1" showInputMessage="1" showErrorMessage="1" sqref="C23" xr:uid="{BDCE4077-6B65-40F5-98DE-72B778BEFB7A}">
      <formula1>"UQ DC,Authorised Colocation Facility,IaaS or PaaS,Other"</formula1>
    </dataValidation>
    <dataValidation type="list" allowBlank="1" showInputMessage="1" showErrorMessage="1" sqref="C17" xr:uid="{09649955-12B2-4A08-8485-63DFF1C0E7B2}">
      <formula1>RPORatings</formula1>
    </dataValidation>
    <dataValidation type="list" allowBlank="1" showInputMessage="1" showErrorMessage="1" sqref="C18" xr:uid="{A5D92050-C576-4470-A7E1-29E29AE77EEF}">
      <formula1>RTORatings</formula1>
    </dataValidation>
    <dataValidation type="list" allowBlank="1" showInputMessage="1" showErrorMessage="1" sqref="C16" xr:uid="{874F75CC-7076-425A-BB32-A8B71B649E3E}">
      <formula1>AvailabilityRatings</formula1>
    </dataValidation>
    <dataValidation type="list" allowBlank="1" showInputMessage="1" showErrorMessage="1" sqref="C15" xr:uid="{FDF0A329-C3ED-4CC4-AF6B-B59EB4645AB4}">
      <formula1>NumUsers</formula1>
    </dataValidation>
    <dataValidation type="list" allowBlank="1" showInputMessage="1" showErrorMessage="1" sqref="C9:C10" xr:uid="{00000000-0002-0000-0000-000003000000}">
      <formula1>ConfidentialityRatings</formula1>
    </dataValidation>
    <dataValidation type="list" allowBlank="1" showInputMessage="1" showErrorMessage="1" sqref="C24" xr:uid="{00000000-0002-0000-0000-000001000000}">
      <formula1>"Yes,No"</formula1>
    </dataValidation>
    <dataValidation type="list" allowBlank="1" showInputMessage="1" showErrorMessage="1" sqref="C20" xr:uid="{00000000-0002-0000-0000-000000000000}">
      <formula1>"Internal,External,External without pen testing"</formula1>
    </dataValidation>
    <dataValidation type="list" allowBlank="1" showInputMessage="1" showErrorMessage="1" sqref="C25" xr:uid="{C362777D-AFAC-4F8B-9F22-E5356240828D}">
      <formula1>"No, Yes - please provide details"</formula1>
    </dataValidation>
    <dataValidation type="list" allowBlank="1" showInputMessage="1" showErrorMessage="1" sqref="D10 D30" xr:uid="{00000000-0002-0000-0000-000004000000}">
      <formula1>"Low,Medium,High"</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81"/>
  <sheetViews>
    <sheetView showGridLines="0" zoomScale="99" zoomScaleNormal="99" workbookViewId="0">
      <pane ySplit="1" topLeftCell="A2" activePane="bottomLeft" state="frozen"/>
      <selection pane="bottomLeft" activeCell="A57" sqref="A57"/>
    </sheetView>
  </sheetViews>
  <sheetFormatPr defaultRowHeight="14.4"/>
  <cols>
    <col min="1" max="1" width="26.88671875" customWidth="1"/>
    <col min="2" max="2" width="34.5546875" customWidth="1"/>
    <col min="3" max="3" width="57.33203125" customWidth="1"/>
    <col min="4" max="4" width="36.33203125" customWidth="1"/>
    <col min="5" max="5" width="10.6640625" customWidth="1"/>
    <col min="6" max="6" width="10.5546875" customWidth="1"/>
    <col min="7" max="8" width="23.6640625" style="60" customWidth="1"/>
    <col min="9" max="10" width="45.5546875" style="17" customWidth="1"/>
    <col min="11" max="11" width="12" style="17" customWidth="1"/>
  </cols>
  <sheetData>
    <row r="1" spans="1:11" s="103" customFormat="1" ht="33" customHeight="1">
      <c r="A1" s="107" t="s">
        <v>87</v>
      </c>
      <c r="C1" s="83"/>
      <c r="D1" s="104"/>
      <c r="E1" s="104"/>
      <c r="F1" s="83"/>
      <c r="G1" s="105"/>
      <c r="H1" s="105"/>
      <c r="I1" s="106"/>
      <c r="J1" s="106"/>
      <c r="K1" s="106"/>
    </row>
    <row r="2" spans="1:11" ht="28.8">
      <c r="A2" s="108" t="s">
        <v>88</v>
      </c>
      <c r="B2" s="108" t="s">
        <v>89</v>
      </c>
      <c r="C2" s="108" t="s">
        <v>90</v>
      </c>
      <c r="D2" s="108" t="s">
        <v>91</v>
      </c>
      <c r="E2" s="116" t="s">
        <v>92</v>
      </c>
      <c r="F2" s="108" t="s">
        <v>93</v>
      </c>
      <c r="G2" s="109" t="s">
        <v>94</v>
      </c>
      <c r="H2" s="109" t="s">
        <v>95</v>
      </c>
      <c r="I2" s="108" t="s">
        <v>96</v>
      </c>
      <c r="J2" s="108" t="s">
        <v>97</v>
      </c>
      <c r="K2" s="116" t="s">
        <v>98</v>
      </c>
    </row>
    <row r="3" spans="1:11" ht="43.2">
      <c r="A3" s="10" t="s">
        <v>99</v>
      </c>
      <c r="B3" s="4" t="s">
        <v>100</v>
      </c>
      <c r="C3" s="1" t="s">
        <v>101</v>
      </c>
      <c r="D3" s="2" t="s">
        <v>102</v>
      </c>
      <c r="E3" s="1" t="b">
        <f t="shared" ref="E3:E41" si="0">NOT(ISNA(VLOOKUP(CONCATENATE(B3,":TRUE"),RequiredControls,1,FALSE)))</f>
        <v>1</v>
      </c>
      <c r="F3" s="4"/>
      <c r="G3" s="62"/>
      <c r="H3" s="1" t="s">
        <v>21</v>
      </c>
      <c r="I3" s="5"/>
      <c r="J3" s="5"/>
      <c r="K3" s="5" t="s">
        <v>103</v>
      </c>
    </row>
    <row r="4" spans="1:11" ht="28.8">
      <c r="A4" s="10" t="s">
        <v>99</v>
      </c>
      <c r="B4" s="4" t="s">
        <v>104</v>
      </c>
      <c r="C4" s="1" t="s">
        <v>105</v>
      </c>
      <c r="D4" s="2" t="s">
        <v>102</v>
      </c>
      <c r="E4" s="1" t="b">
        <f t="shared" si="0"/>
        <v>1</v>
      </c>
      <c r="F4" s="4"/>
      <c r="G4" s="62"/>
      <c r="H4" s="1" t="s">
        <v>21</v>
      </c>
      <c r="I4" s="5"/>
      <c r="J4" s="5"/>
      <c r="K4" s="5" t="s">
        <v>106</v>
      </c>
    </row>
    <row r="5" spans="1:11" ht="43.2">
      <c r="A5" s="10" t="s">
        <v>99</v>
      </c>
      <c r="B5" s="4" t="s">
        <v>107</v>
      </c>
      <c r="C5" s="1" t="s">
        <v>108</v>
      </c>
      <c r="D5" s="2" t="s">
        <v>102</v>
      </c>
      <c r="E5" s="1" t="b">
        <f t="shared" si="0"/>
        <v>1</v>
      </c>
      <c r="F5" s="4"/>
      <c r="G5" s="62"/>
      <c r="H5" s="1" t="s">
        <v>21</v>
      </c>
      <c r="I5" s="5"/>
      <c r="J5" s="5"/>
      <c r="K5" s="5" t="s">
        <v>109</v>
      </c>
    </row>
    <row r="6" spans="1:11" ht="28.8">
      <c r="A6" s="10" t="s">
        <v>99</v>
      </c>
      <c r="B6" s="4" t="s">
        <v>110</v>
      </c>
      <c r="C6" s="1" t="s">
        <v>111</v>
      </c>
      <c r="D6" s="2" t="s">
        <v>102</v>
      </c>
      <c r="E6" s="1" t="b">
        <f t="shared" si="0"/>
        <v>0</v>
      </c>
      <c r="F6" s="4"/>
      <c r="G6" s="61"/>
      <c r="H6" s="1" t="s">
        <v>25</v>
      </c>
      <c r="I6" s="5"/>
      <c r="J6" s="5"/>
      <c r="K6" s="5" t="s">
        <v>112</v>
      </c>
    </row>
    <row r="7" spans="1:11" ht="43.2">
      <c r="A7" s="10" t="s">
        <v>99</v>
      </c>
      <c r="B7" s="4" t="s">
        <v>113</v>
      </c>
      <c r="C7" s="1" t="s">
        <v>114</v>
      </c>
      <c r="D7" s="2" t="s">
        <v>102</v>
      </c>
      <c r="E7" s="1" t="b">
        <f t="shared" si="0"/>
        <v>0</v>
      </c>
      <c r="F7" s="4"/>
      <c r="G7" s="61"/>
      <c r="H7" s="1" t="s">
        <v>21</v>
      </c>
      <c r="I7" s="5"/>
      <c r="J7" s="5"/>
      <c r="K7" s="5" t="s">
        <v>115</v>
      </c>
    </row>
    <row r="8" spans="1:11" ht="43.2">
      <c r="A8" s="10" t="s">
        <v>99</v>
      </c>
      <c r="B8" s="4" t="s">
        <v>116</v>
      </c>
      <c r="C8" s="1" t="s">
        <v>117</v>
      </c>
      <c r="D8" s="2" t="s">
        <v>102</v>
      </c>
      <c r="E8" s="1" t="b">
        <f t="shared" si="0"/>
        <v>0</v>
      </c>
      <c r="F8" s="4"/>
      <c r="G8" s="61"/>
      <c r="H8" s="1" t="s">
        <v>23</v>
      </c>
      <c r="I8" s="5"/>
      <c r="J8" s="5"/>
      <c r="K8" s="5" t="s">
        <v>118</v>
      </c>
    </row>
    <row r="9" spans="1:11" ht="43.2">
      <c r="A9" s="10" t="s">
        <v>99</v>
      </c>
      <c r="B9" s="4" t="s">
        <v>119</v>
      </c>
      <c r="C9" s="1" t="s">
        <v>120</v>
      </c>
      <c r="D9" s="2" t="s">
        <v>102</v>
      </c>
      <c r="E9" s="1" t="b">
        <f t="shared" si="0"/>
        <v>1</v>
      </c>
      <c r="F9" s="4"/>
      <c r="G9" s="61"/>
      <c r="H9" s="1" t="s">
        <v>25</v>
      </c>
      <c r="I9" s="5"/>
      <c r="J9" s="5"/>
      <c r="K9" s="5" t="s">
        <v>121</v>
      </c>
    </row>
    <row r="10" spans="1:11" ht="28.8">
      <c r="A10" s="10" t="s">
        <v>99</v>
      </c>
      <c r="B10" s="4" t="s">
        <v>122</v>
      </c>
      <c r="C10" s="1" t="s">
        <v>123</v>
      </c>
      <c r="D10" s="2" t="s">
        <v>102</v>
      </c>
      <c r="E10" s="1" t="b">
        <f t="shared" si="0"/>
        <v>1</v>
      </c>
      <c r="F10" s="4"/>
      <c r="G10" s="62"/>
      <c r="H10" s="1" t="s">
        <v>23</v>
      </c>
      <c r="I10" s="5"/>
      <c r="J10" s="5"/>
      <c r="K10" s="5" t="s">
        <v>124</v>
      </c>
    </row>
    <row r="11" spans="1:11" ht="43.2">
      <c r="A11" s="10" t="s">
        <v>125</v>
      </c>
      <c r="B11" s="4" t="s">
        <v>126</v>
      </c>
      <c r="C11" s="1" t="s">
        <v>127</v>
      </c>
      <c r="D11" s="4"/>
      <c r="E11" s="1" t="b">
        <f t="shared" si="0"/>
        <v>0</v>
      </c>
      <c r="F11" s="4"/>
      <c r="G11" s="61"/>
      <c r="H11" s="1" t="s">
        <v>23</v>
      </c>
      <c r="I11" s="5"/>
      <c r="J11" s="5"/>
      <c r="K11" s="5" t="s">
        <v>128</v>
      </c>
    </row>
    <row r="12" spans="1:11" ht="28.8">
      <c r="A12" s="10" t="s">
        <v>125</v>
      </c>
      <c r="B12" s="8" t="s">
        <v>129</v>
      </c>
      <c r="C12" s="1" t="s">
        <v>130</v>
      </c>
      <c r="D12" s="4"/>
      <c r="E12" s="1" t="b">
        <f t="shared" si="0"/>
        <v>0</v>
      </c>
      <c r="F12" s="4"/>
      <c r="G12" s="61"/>
      <c r="H12" s="1" t="s">
        <v>23</v>
      </c>
      <c r="I12" s="5"/>
      <c r="J12" s="5"/>
      <c r="K12" s="5" t="s">
        <v>131</v>
      </c>
    </row>
    <row r="13" spans="1:11" ht="28.8">
      <c r="A13" s="10" t="s">
        <v>125</v>
      </c>
      <c r="B13" s="8" t="s">
        <v>132</v>
      </c>
      <c r="C13" s="1" t="s">
        <v>133</v>
      </c>
      <c r="D13" s="4"/>
      <c r="E13" s="1" t="b">
        <f t="shared" si="0"/>
        <v>0</v>
      </c>
      <c r="F13" s="4"/>
      <c r="G13" s="61"/>
      <c r="H13" s="1" t="s">
        <v>23</v>
      </c>
      <c r="I13" s="5"/>
      <c r="J13" s="5"/>
      <c r="K13" s="5" t="s">
        <v>134</v>
      </c>
    </row>
    <row r="14" spans="1:11" ht="43.2">
      <c r="A14" s="10" t="s">
        <v>125</v>
      </c>
      <c r="B14" s="4" t="s">
        <v>135</v>
      </c>
      <c r="C14" s="1" t="s">
        <v>136</v>
      </c>
      <c r="D14" s="4"/>
      <c r="E14" s="1" t="b">
        <f t="shared" si="0"/>
        <v>0</v>
      </c>
      <c r="F14" s="4"/>
      <c r="G14" s="61"/>
      <c r="H14" s="1" t="s">
        <v>25</v>
      </c>
      <c r="I14" s="5"/>
      <c r="J14" s="5"/>
      <c r="K14" s="5" t="s">
        <v>137</v>
      </c>
    </row>
    <row r="15" spans="1:11" ht="43.2">
      <c r="A15" s="10" t="s">
        <v>125</v>
      </c>
      <c r="B15" s="8" t="s">
        <v>138</v>
      </c>
      <c r="C15" s="1" t="s">
        <v>139</v>
      </c>
      <c r="D15" s="4"/>
      <c r="E15" s="1" t="b">
        <f t="shared" si="0"/>
        <v>0</v>
      </c>
      <c r="F15" s="4"/>
      <c r="G15" s="61"/>
      <c r="H15" s="1" t="s">
        <v>23</v>
      </c>
      <c r="I15" s="5"/>
      <c r="J15" s="5"/>
      <c r="K15" s="5" t="s">
        <v>140</v>
      </c>
    </row>
    <row r="16" spans="1:11" ht="43.2">
      <c r="A16" s="10" t="s">
        <v>125</v>
      </c>
      <c r="B16" s="8" t="s">
        <v>141</v>
      </c>
      <c r="C16" s="1" t="s">
        <v>142</v>
      </c>
      <c r="D16" s="4"/>
      <c r="E16" s="1" t="b">
        <f t="shared" si="0"/>
        <v>0</v>
      </c>
      <c r="F16" s="4"/>
      <c r="G16" s="61"/>
      <c r="H16" s="1" t="s">
        <v>25</v>
      </c>
      <c r="I16" s="5"/>
      <c r="J16" s="5"/>
      <c r="K16" s="5" t="s">
        <v>143</v>
      </c>
    </row>
    <row r="17" spans="1:11" ht="43.2">
      <c r="A17" s="10" t="s">
        <v>125</v>
      </c>
      <c r="B17" s="8" t="s">
        <v>144</v>
      </c>
      <c r="C17" s="1" t="s">
        <v>145</v>
      </c>
      <c r="D17" s="4"/>
      <c r="E17" s="1" t="b">
        <f t="shared" si="0"/>
        <v>0</v>
      </c>
      <c r="F17" s="4"/>
      <c r="G17" s="61"/>
      <c r="H17" s="1" t="s">
        <v>25</v>
      </c>
      <c r="I17" s="5"/>
      <c r="J17" s="5"/>
      <c r="K17" s="5" t="s">
        <v>146</v>
      </c>
    </row>
    <row r="18" spans="1:11" ht="43.2">
      <c r="A18" s="10" t="s">
        <v>125</v>
      </c>
      <c r="B18" s="4" t="s">
        <v>147</v>
      </c>
      <c r="C18" s="1" t="s">
        <v>148</v>
      </c>
      <c r="D18" s="9"/>
      <c r="E18" s="1" t="b">
        <f t="shared" si="0"/>
        <v>0</v>
      </c>
      <c r="F18" s="4"/>
      <c r="G18" s="66"/>
      <c r="H18" s="1" t="s">
        <v>25</v>
      </c>
      <c r="I18" s="5"/>
      <c r="J18" s="5"/>
      <c r="K18" s="5" t="s">
        <v>149</v>
      </c>
    </row>
    <row r="19" spans="1:11" ht="28.8">
      <c r="A19" s="10" t="s">
        <v>125</v>
      </c>
      <c r="B19" s="4" t="s">
        <v>150</v>
      </c>
      <c r="C19" s="1" t="s">
        <v>151</v>
      </c>
      <c r="D19" s="9"/>
      <c r="E19" s="1" t="b">
        <f t="shared" ref="E19" si="1">NOT(ISNA(VLOOKUP(CONCATENATE(B19,":TRUE"),RequiredControls,1,FALSE)))</f>
        <v>1</v>
      </c>
      <c r="F19" s="4"/>
      <c r="G19" s="66"/>
      <c r="H19" s="1" t="s">
        <v>21</v>
      </c>
      <c r="I19" s="5"/>
      <c r="J19" s="5"/>
      <c r="K19" s="5" t="s">
        <v>152</v>
      </c>
    </row>
    <row r="20" spans="1:11" ht="28.8">
      <c r="A20" s="10" t="s">
        <v>125</v>
      </c>
      <c r="B20" s="4" t="s">
        <v>153</v>
      </c>
      <c r="C20" s="1" t="s">
        <v>154</v>
      </c>
      <c r="D20" s="9"/>
      <c r="E20" s="1" t="b">
        <f t="shared" ref="E20" si="2">NOT(ISNA(VLOOKUP(CONCATENATE(B20,":TRUE"),RequiredControls,1,FALSE)))</f>
        <v>0</v>
      </c>
      <c r="F20" s="4"/>
      <c r="G20" s="66"/>
      <c r="H20" s="1" t="s">
        <v>23</v>
      </c>
      <c r="I20" s="5"/>
      <c r="J20" s="5"/>
      <c r="K20" s="5" t="s">
        <v>155</v>
      </c>
    </row>
    <row r="21" spans="1:11">
      <c r="A21" s="10" t="s">
        <v>125</v>
      </c>
      <c r="B21" s="4" t="s">
        <v>156</v>
      </c>
      <c r="C21" s="1" t="s">
        <v>157</v>
      </c>
      <c r="D21" s="1"/>
      <c r="E21" s="1" t="b">
        <f t="shared" si="0"/>
        <v>0</v>
      </c>
      <c r="F21" s="4"/>
      <c r="G21" s="65"/>
      <c r="H21" s="1" t="s">
        <v>23</v>
      </c>
      <c r="I21" s="5"/>
      <c r="J21" s="5"/>
      <c r="K21" s="5" t="s">
        <v>158</v>
      </c>
    </row>
    <row r="22" spans="1:11">
      <c r="A22" s="10" t="s">
        <v>125</v>
      </c>
      <c r="B22" s="4" t="s">
        <v>159</v>
      </c>
      <c r="C22" s="1" t="s">
        <v>160</v>
      </c>
      <c r="D22" s="1"/>
      <c r="E22" s="1" t="b">
        <f t="shared" si="0"/>
        <v>0</v>
      </c>
      <c r="F22" s="4"/>
      <c r="G22" s="65"/>
      <c r="H22" s="1" t="s">
        <v>21</v>
      </c>
      <c r="I22" s="5"/>
      <c r="J22" s="5"/>
      <c r="K22" s="5" t="s">
        <v>161</v>
      </c>
    </row>
    <row r="23" spans="1:11">
      <c r="A23" s="10" t="s">
        <v>125</v>
      </c>
      <c r="B23" s="4" t="s">
        <v>162</v>
      </c>
      <c r="C23" s="1" t="s">
        <v>163</v>
      </c>
      <c r="D23" s="1"/>
      <c r="E23" s="1" t="b">
        <f t="shared" si="0"/>
        <v>0</v>
      </c>
      <c r="F23" s="4"/>
      <c r="G23" s="65"/>
      <c r="H23" s="1" t="s">
        <v>23</v>
      </c>
      <c r="I23" s="5"/>
      <c r="J23" s="5"/>
      <c r="K23" s="5" t="s">
        <v>164</v>
      </c>
    </row>
    <row r="24" spans="1:11" ht="28.8">
      <c r="A24" s="10" t="s">
        <v>125</v>
      </c>
      <c r="B24" s="4" t="s">
        <v>165</v>
      </c>
      <c r="C24" s="1" t="s">
        <v>166</v>
      </c>
      <c r="D24" s="1"/>
      <c r="E24" s="1" t="b">
        <f t="shared" ref="E24" si="3">NOT(ISNA(VLOOKUP(CONCATENATE(B24,":TRUE"),RequiredControls,1,FALSE)))</f>
        <v>0</v>
      </c>
      <c r="F24" s="4"/>
      <c r="G24" s="65"/>
      <c r="H24" s="1" t="s">
        <v>21</v>
      </c>
      <c r="I24" s="5"/>
      <c r="J24" s="5"/>
      <c r="K24" s="5" t="s">
        <v>167</v>
      </c>
    </row>
    <row r="25" spans="1:11" ht="28.8">
      <c r="A25" s="10" t="s">
        <v>125</v>
      </c>
      <c r="B25" s="4" t="s">
        <v>168</v>
      </c>
      <c r="C25" s="1" t="s">
        <v>169</v>
      </c>
      <c r="D25" s="1"/>
      <c r="E25" s="1" t="b">
        <f t="shared" ref="E25" si="4">NOT(ISNA(VLOOKUP(CONCATENATE(B25,":TRUE"),RequiredControls,1,FALSE)))</f>
        <v>0</v>
      </c>
      <c r="F25" s="4"/>
      <c r="G25" s="65"/>
      <c r="H25" s="1" t="s">
        <v>23</v>
      </c>
      <c r="I25" s="5"/>
      <c r="J25" s="5"/>
      <c r="K25" s="5" t="s">
        <v>170</v>
      </c>
    </row>
    <row r="26" spans="1:11" ht="43.2">
      <c r="A26" s="10" t="s">
        <v>125</v>
      </c>
      <c r="B26" s="4" t="s">
        <v>171</v>
      </c>
      <c r="C26" s="1" t="s">
        <v>172</v>
      </c>
      <c r="D26" s="1"/>
      <c r="E26" s="1" t="b">
        <f t="shared" ref="E26" si="5">NOT(ISNA(VLOOKUP(CONCATENATE(B26,":TRUE"),RequiredControls,1,FALSE)))</f>
        <v>0</v>
      </c>
      <c r="F26" s="4"/>
      <c r="G26" s="65"/>
      <c r="H26" s="1" t="s">
        <v>21</v>
      </c>
      <c r="I26" s="5"/>
      <c r="J26" s="5"/>
      <c r="K26" s="5" t="s">
        <v>173</v>
      </c>
    </row>
    <row r="27" spans="1:11" ht="28.8">
      <c r="A27" s="10" t="s">
        <v>174</v>
      </c>
      <c r="B27" s="10" t="s">
        <v>175</v>
      </c>
      <c r="C27" s="1" t="s">
        <v>176</v>
      </c>
      <c r="D27" s="11" t="s">
        <v>177</v>
      </c>
      <c r="E27" s="1" t="b">
        <f t="shared" si="0"/>
        <v>0</v>
      </c>
      <c r="F27" s="4"/>
      <c r="G27" s="61"/>
      <c r="H27" s="1" t="s">
        <v>23</v>
      </c>
      <c r="I27" s="5"/>
      <c r="J27" s="5"/>
      <c r="K27" s="5" t="s">
        <v>178</v>
      </c>
    </row>
    <row r="28" spans="1:11" ht="28.8">
      <c r="A28" s="10" t="s">
        <v>174</v>
      </c>
      <c r="B28" s="4" t="s">
        <v>179</v>
      </c>
      <c r="C28" s="1" t="s">
        <v>180</v>
      </c>
      <c r="D28" s="11" t="s">
        <v>177</v>
      </c>
      <c r="E28" s="1" t="b">
        <f t="shared" si="0"/>
        <v>0</v>
      </c>
      <c r="F28" s="4"/>
      <c r="G28" s="61"/>
      <c r="H28" s="1" t="s">
        <v>23</v>
      </c>
      <c r="I28" s="5"/>
      <c r="J28" s="5"/>
      <c r="K28" s="5" t="s">
        <v>181</v>
      </c>
    </row>
    <row r="29" spans="1:11" ht="28.8">
      <c r="A29" s="10" t="s">
        <v>174</v>
      </c>
      <c r="B29" s="4" t="s">
        <v>182</v>
      </c>
      <c r="C29" s="1" t="s">
        <v>183</v>
      </c>
      <c r="D29" s="11" t="s">
        <v>177</v>
      </c>
      <c r="E29" s="1" t="b">
        <f t="shared" si="0"/>
        <v>1</v>
      </c>
      <c r="F29" s="4"/>
      <c r="G29" s="61"/>
      <c r="H29" s="1" t="s">
        <v>23</v>
      </c>
      <c r="I29" s="5"/>
      <c r="J29" s="5"/>
      <c r="K29" s="5" t="s">
        <v>184</v>
      </c>
    </row>
    <row r="30" spans="1:11" ht="57.6">
      <c r="A30" s="10" t="s">
        <v>174</v>
      </c>
      <c r="B30" s="4" t="s">
        <v>185</v>
      </c>
      <c r="C30" s="1" t="s">
        <v>186</v>
      </c>
      <c r="D30" s="11" t="s">
        <v>177</v>
      </c>
      <c r="E30" s="1" t="b">
        <f t="shared" si="0"/>
        <v>0</v>
      </c>
      <c r="F30" s="4"/>
      <c r="G30" s="61"/>
      <c r="H30" s="1" t="s">
        <v>21</v>
      </c>
      <c r="I30" s="5"/>
      <c r="J30" s="5"/>
      <c r="K30" s="5" t="s">
        <v>187</v>
      </c>
    </row>
    <row r="31" spans="1:11" ht="28.8">
      <c r="A31" s="10" t="s">
        <v>174</v>
      </c>
      <c r="B31" s="4" t="s">
        <v>188</v>
      </c>
      <c r="C31" s="1" t="s">
        <v>189</v>
      </c>
      <c r="D31" s="11" t="s">
        <v>177</v>
      </c>
      <c r="E31" s="1" t="b">
        <f t="shared" si="0"/>
        <v>0</v>
      </c>
      <c r="F31" s="4"/>
      <c r="G31" s="62"/>
      <c r="H31" s="1" t="s">
        <v>25</v>
      </c>
      <c r="I31" s="5"/>
      <c r="J31" s="5"/>
      <c r="K31" s="5" t="s">
        <v>190</v>
      </c>
    </row>
    <row r="32" spans="1:11" ht="43.2">
      <c r="A32" s="10" t="s">
        <v>174</v>
      </c>
      <c r="B32" s="4" t="s">
        <v>191</v>
      </c>
      <c r="C32" s="1" t="s">
        <v>192</v>
      </c>
      <c r="D32" s="11" t="s">
        <v>177</v>
      </c>
      <c r="E32" s="1" t="b">
        <f t="shared" si="0"/>
        <v>0</v>
      </c>
      <c r="F32" s="4"/>
      <c r="G32" s="62"/>
      <c r="H32" s="1" t="s">
        <v>21</v>
      </c>
      <c r="I32" s="5"/>
      <c r="J32" s="5"/>
      <c r="K32" s="5" t="s">
        <v>193</v>
      </c>
    </row>
    <row r="33" spans="1:11" ht="43.2">
      <c r="A33" s="10" t="s">
        <v>194</v>
      </c>
      <c r="B33" s="8" t="s">
        <v>195</v>
      </c>
      <c r="C33" s="1" t="s">
        <v>196</v>
      </c>
      <c r="D33" s="1"/>
      <c r="E33" s="1" t="b">
        <f t="shared" si="0"/>
        <v>1</v>
      </c>
      <c r="F33" s="4"/>
      <c r="G33" s="61"/>
      <c r="H33" s="1" t="s">
        <v>21</v>
      </c>
      <c r="I33" s="5"/>
      <c r="J33" s="5"/>
      <c r="K33" s="5" t="s">
        <v>197</v>
      </c>
    </row>
    <row r="34" spans="1:11" ht="28.8">
      <c r="A34" s="10" t="s">
        <v>194</v>
      </c>
      <c r="B34" s="8" t="s">
        <v>198</v>
      </c>
      <c r="C34" s="1" t="s">
        <v>199</v>
      </c>
      <c r="D34" s="2"/>
      <c r="E34" s="1" t="b">
        <f t="shared" ref="E34:E35" si="6">NOT(ISNA(VLOOKUP(CONCATENATE(B34,":TRUE"),RequiredControls,1,FALSE)))</f>
        <v>0</v>
      </c>
      <c r="F34" s="4"/>
      <c r="G34" s="62"/>
      <c r="H34" s="1" t="s">
        <v>25</v>
      </c>
      <c r="I34" s="5"/>
      <c r="J34" s="5"/>
      <c r="K34" s="5" t="s">
        <v>200</v>
      </c>
    </row>
    <row r="35" spans="1:11" ht="43.2">
      <c r="A35" s="10" t="s">
        <v>194</v>
      </c>
      <c r="B35" s="8" t="s">
        <v>201</v>
      </c>
      <c r="C35" s="1" t="s">
        <v>202</v>
      </c>
      <c r="D35" s="2"/>
      <c r="E35" s="1" t="b">
        <f t="shared" si="6"/>
        <v>1</v>
      </c>
      <c r="F35" s="4"/>
      <c r="G35" s="62"/>
      <c r="H35" s="1" t="s">
        <v>25</v>
      </c>
      <c r="I35" s="5"/>
      <c r="J35" s="5"/>
      <c r="K35" s="5" t="s">
        <v>203</v>
      </c>
    </row>
    <row r="36" spans="1:11" ht="28.8">
      <c r="A36" s="10" t="s">
        <v>194</v>
      </c>
      <c r="B36" s="8" t="s">
        <v>204</v>
      </c>
      <c r="C36" s="1" t="s">
        <v>205</v>
      </c>
      <c r="D36" s="2"/>
      <c r="E36" s="1" t="b">
        <f t="shared" si="0"/>
        <v>0</v>
      </c>
      <c r="F36" s="4"/>
      <c r="G36" s="62"/>
      <c r="H36" s="1" t="s">
        <v>25</v>
      </c>
      <c r="I36" s="5"/>
      <c r="J36" s="5"/>
      <c r="K36" s="5" t="s">
        <v>206</v>
      </c>
    </row>
    <row r="37" spans="1:11" ht="57.6">
      <c r="A37" s="10" t="s">
        <v>207</v>
      </c>
      <c r="B37" s="8" t="s">
        <v>208</v>
      </c>
      <c r="C37" s="1" t="s">
        <v>209</v>
      </c>
      <c r="D37" s="2" t="s">
        <v>210</v>
      </c>
      <c r="E37" s="1" t="b">
        <f t="shared" si="0"/>
        <v>1</v>
      </c>
      <c r="F37" s="4"/>
      <c r="G37" s="61"/>
      <c r="H37" s="1" t="s">
        <v>21</v>
      </c>
      <c r="I37" s="5"/>
      <c r="J37" s="5"/>
      <c r="K37" s="5" t="s">
        <v>211</v>
      </c>
    </row>
    <row r="38" spans="1:11" ht="28.8">
      <c r="A38" s="10" t="s">
        <v>207</v>
      </c>
      <c r="B38" s="10" t="s">
        <v>212</v>
      </c>
      <c r="C38" s="1" t="s">
        <v>213</v>
      </c>
      <c r="D38" s="11"/>
      <c r="E38" s="1" t="b">
        <f t="shared" si="0"/>
        <v>0</v>
      </c>
      <c r="F38" s="4"/>
      <c r="G38" s="61"/>
      <c r="H38" s="1" t="s">
        <v>23</v>
      </c>
      <c r="I38" s="5"/>
      <c r="J38" s="5"/>
      <c r="K38" s="5" t="s">
        <v>214</v>
      </c>
    </row>
    <row r="39" spans="1:11" ht="28.8">
      <c r="A39" s="10" t="s">
        <v>207</v>
      </c>
      <c r="B39" s="6" t="s">
        <v>215</v>
      </c>
      <c r="C39" s="5" t="s">
        <v>216</v>
      </c>
      <c r="D39" s="7"/>
      <c r="E39" s="1" t="b">
        <f t="shared" si="0"/>
        <v>0</v>
      </c>
      <c r="F39" s="4"/>
      <c r="G39" s="63"/>
      <c r="H39" s="1" t="s">
        <v>23</v>
      </c>
      <c r="I39" s="5"/>
      <c r="J39" s="5"/>
      <c r="K39" s="5" t="s">
        <v>217</v>
      </c>
    </row>
    <row r="40" spans="1:11">
      <c r="A40" s="10" t="s">
        <v>71</v>
      </c>
      <c r="B40" s="4" t="s">
        <v>218</v>
      </c>
      <c r="C40" s="1" t="s">
        <v>219</v>
      </c>
      <c r="D40" s="11" t="s">
        <v>220</v>
      </c>
      <c r="E40" s="1" t="b">
        <f t="shared" si="0"/>
        <v>0</v>
      </c>
      <c r="F40" s="4"/>
      <c r="G40" s="61"/>
      <c r="H40" s="1" t="s">
        <v>25</v>
      </c>
      <c r="I40" s="5"/>
      <c r="J40" s="5"/>
      <c r="K40" s="5" t="s">
        <v>221</v>
      </c>
    </row>
    <row r="41" spans="1:11" ht="144">
      <c r="A41" s="10" t="s">
        <v>71</v>
      </c>
      <c r="B41" s="4" t="s">
        <v>222</v>
      </c>
      <c r="C41" s="1" t="s">
        <v>223</v>
      </c>
      <c r="D41" s="4"/>
      <c r="E41" s="1" t="b">
        <f t="shared" si="0"/>
        <v>1</v>
      </c>
      <c r="F41" s="4"/>
      <c r="G41" s="61"/>
      <c r="H41" s="1" t="s">
        <v>23</v>
      </c>
      <c r="I41" s="5"/>
      <c r="J41" s="5"/>
      <c r="K41" s="5" t="s">
        <v>224</v>
      </c>
    </row>
    <row r="42" spans="1:11" ht="43.2">
      <c r="A42" s="10" t="s">
        <v>71</v>
      </c>
      <c r="B42" s="4" t="s">
        <v>225</v>
      </c>
      <c r="C42" s="1" t="s">
        <v>226</v>
      </c>
      <c r="D42" s="4"/>
      <c r="E42" s="1" t="b">
        <f t="shared" ref="E42:E74" si="7">NOT(ISNA(VLOOKUP(CONCATENATE(B42,":TRUE"),RequiredControls,1,FALSE)))</f>
        <v>0</v>
      </c>
      <c r="F42" s="4"/>
      <c r="G42" s="61"/>
      <c r="H42" s="1" t="s">
        <v>23</v>
      </c>
      <c r="I42" s="5"/>
      <c r="J42" s="5"/>
      <c r="K42" s="5" t="s">
        <v>227</v>
      </c>
    </row>
    <row r="43" spans="1:11" ht="28.8">
      <c r="A43" s="10" t="s">
        <v>71</v>
      </c>
      <c r="B43" s="4" t="s">
        <v>228</v>
      </c>
      <c r="C43" s="1" t="s">
        <v>229</v>
      </c>
      <c r="D43" s="11" t="s">
        <v>220</v>
      </c>
      <c r="E43" s="1" t="b">
        <f t="shared" si="7"/>
        <v>0</v>
      </c>
      <c r="F43" s="4"/>
      <c r="G43" s="62"/>
      <c r="H43" s="1" t="s">
        <v>23</v>
      </c>
      <c r="I43" s="5"/>
      <c r="J43" s="5"/>
      <c r="K43" s="5" t="s">
        <v>230</v>
      </c>
    </row>
    <row r="44" spans="1:11" ht="28.8">
      <c r="A44" s="10" t="s">
        <v>71</v>
      </c>
      <c r="B44" s="4" t="s">
        <v>231</v>
      </c>
      <c r="C44" s="1" t="s">
        <v>232</v>
      </c>
      <c r="D44" s="11" t="s">
        <v>220</v>
      </c>
      <c r="E44" s="1" t="b">
        <f t="shared" si="7"/>
        <v>0</v>
      </c>
      <c r="F44" s="4"/>
      <c r="G44" s="62"/>
      <c r="H44" s="1" t="s">
        <v>23</v>
      </c>
      <c r="I44" s="5"/>
      <c r="J44" s="5"/>
      <c r="K44" s="5" t="s">
        <v>233</v>
      </c>
    </row>
    <row r="45" spans="1:11" ht="57.6">
      <c r="A45" s="10" t="s">
        <v>234</v>
      </c>
      <c r="B45" s="4" t="s">
        <v>235</v>
      </c>
      <c r="C45" s="1" t="s">
        <v>236</v>
      </c>
      <c r="D45" s="2" t="s">
        <v>237</v>
      </c>
      <c r="E45" s="1" t="b">
        <f t="shared" si="7"/>
        <v>0</v>
      </c>
      <c r="F45" s="4"/>
      <c r="G45" s="62"/>
      <c r="H45" s="1" t="s">
        <v>21</v>
      </c>
      <c r="I45" s="5"/>
      <c r="J45" s="5"/>
      <c r="K45" s="5" t="s">
        <v>238</v>
      </c>
    </row>
    <row r="46" spans="1:11" ht="28.8">
      <c r="A46" s="10" t="s">
        <v>234</v>
      </c>
      <c r="B46" s="4" t="s">
        <v>239</v>
      </c>
      <c r="C46" s="1" t="s">
        <v>240</v>
      </c>
      <c r="D46" s="2" t="s">
        <v>237</v>
      </c>
      <c r="E46" s="1" t="b">
        <f t="shared" si="7"/>
        <v>0</v>
      </c>
      <c r="F46" s="4"/>
      <c r="G46" s="62"/>
      <c r="H46" s="1" t="s">
        <v>21</v>
      </c>
      <c r="I46" s="5"/>
      <c r="J46" s="5"/>
      <c r="K46" s="5" t="s">
        <v>241</v>
      </c>
    </row>
    <row r="47" spans="1:11" ht="43.2">
      <c r="A47" s="10" t="s">
        <v>234</v>
      </c>
      <c r="B47" s="4" t="s">
        <v>242</v>
      </c>
      <c r="C47" s="1" t="s">
        <v>243</v>
      </c>
      <c r="D47" s="2" t="s">
        <v>237</v>
      </c>
      <c r="E47" s="1" t="b">
        <f t="shared" si="7"/>
        <v>0</v>
      </c>
      <c r="F47" s="4"/>
      <c r="G47" s="62"/>
      <c r="H47" s="1" t="s">
        <v>21</v>
      </c>
      <c r="I47" s="5"/>
      <c r="J47" s="5"/>
      <c r="K47" s="5" t="s">
        <v>244</v>
      </c>
    </row>
    <row r="48" spans="1:11" ht="72">
      <c r="A48" s="10" t="s">
        <v>234</v>
      </c>
      <c r="B48" s="4" t="s">
        <v>245</v>
      </c>
      <c r="C48" s="1" t="s">
        <v>246</v>
      </c>
      <c r="D48" s="2" t="s">
        <v>237</v>
      </c>
      <c r="E48" s="1" t="b">
        <f t="shared" si="7"/>
        <v>0</v>
      </c>
      <c r="F48" s="4"/>
      <c r="G48" s="62"/>
      <c r="H48" s="1" t="s">
        <v>21</v>
      </c>
      <c r="I48" s="5"/>
      <c r="J48" s="5"/>
      <c r="K48" s="5" t="s">
        <v>247</v>
      </c>
    </row>
    <row r="49" spans="1:11" ht="28.8">
      <c r="A49" s="10" t="s">
        <v>234</v>
      </c>
      <c r="B49" s="4" t="s">
        <v>248</v>
      </c>
      <c r="C49" s="1" t="s">
        <v>249</v>
      </c>
      <c r="D49" s="2" t="s">
        <v>237</v>
      </c>
      <c r="E49" s="1" t="b">
        <f t="shared" si="7"/>
        <v>0</v>
      </c>
      <c r="F49" s="4"/>
      <c r="G49" s="62"/>
      <c r="H49" s="1" t="s">
        <v>21</v>
      </c>
      <c r="I49" s="5"/>
      <c r="J49" s="5"/>
      <c r="K49" s="5" t="s">
        <v>250</v>
      </c>
    </row>
    <row r="50" spans="1:11" ht="28.8">
      <c r="A50" s="10" t="s">
        <v>234</v>
      </c>
      <c r="B50" s="4" t="s">
        <v>251</v>
      </c>
      <c r="C50" s="1" t="s">
        <v>252</v>
      </c>
      <c r="D50" s="2" t="s">
        <v>237</v>
      </c>
      <c r="E50" s="1" t="b">
        <f t="shared" si="7"/>
        <v>0</v>
      </c>
      <c r="F50" s="4"/>
      <c r="G50" s="62"/>
      <c r="H50" s="1" t="s">
        <v>21</v>
      </c>
      <c r="I50" s="5"/>
      <c r="J50" s="5"/>
      <c r="K50" s="5" t="s">
        <v>253</v>
      </c>
    </row>
    <row r="51" spans="1:11" ht="43.2">
      <c r="A51" s="10" t="s">
        <v>234</v>
      </c>
      <c r="B51" s="4" t="s">
        <v>254</v>
      </c>
      <c r="C51" s="1" t="s">
        <v>255</v>
      </c>
      <c r="D51" s="2" t="s">
        <v>237</v>
      </c>
      <c r="E51" s="1" t="b">
        <f t="shared" si="7"/>
        <v>0</v>
      </c>
      <c r="F51" s="4"/>
      <c r="G51" s="62"/>
      <c r="H51" s="1" t="s">
        <v>25</v>
      </c>
      <c r="I51" s="5"/>
      <c r="J51" s="5"/>
      <c r="K51" s="5" t="s">
        <v>256</v>
      </c>
    </row>
    <row r="52" spans="1:11" ht="43.2">
      <c r="A52" s="10" t="s">
        <v>257</v>
      </c>
      <c r="B52" s="10" t="s">
        <v>258</v>
      </c>
      <c r="C52" s="5" t="s">
        <v>259</v>
      </c>
      <c r="D52" s="4"/>
      <c r="E52" s="1" t="b">
        <f t="shared" si="7"/>
        <v>0</v>
      </c>
      <c r="F52" s="4"/>
      <c r="G52" s="61"/>
      <c r="H52" s="1" t="s">
        <v>23</v>
      </c>
      <c r="I52" s="5"/>
      <c r="J52" s="5"/>
      <c r="K52" s="5" t="s">
        <v>260</v>
      </c>
    </row>
    <row r="53" spans="1:11" ht="57.6">
      <c r="A53" s="10" t="s">
        <v>257</v>
      </c>
      <c r="B53" s="4" t="s">
        <v>261</v>
      </c>
      <c r="C53" s="1" t="s">
        <v>262</v>
      </c>
      <c r="D53" s="4"/>
      <c r="E53" s="1" t="b">
        <f t="shared" si="7"/>
        <v>1</v>
      </c>
      <c r="F53" s="4"/>
      <c r="G53" s="61"/>
      <c r="H53" s="1" t="s">
        <v>21</v>
      </c>
      <c r="I53" s="5"/>
      <c r="J53" s="5"/>
      <c r="K53" s="5" t="s">
        <v>263</v>
      </c>
    </row>
    <row r="54" spans="1:11" ht="43.2">
      <c r="A54" s="10" t="s">
        <v>257</v>
      </c>
      <c r="B54" s="8" t="s">
        <v>264</v>
      </c>
      <c r="C54" s="1" t="s">
        <v>265</v>
      </c>
      <c r="D54" s="4"/>
      <c r="E54" s="1" t="b">
        <f t="shared" si="7"/>
        <v>1</v>
      </c>
      <c r="F54" s="4"/>
      <c r="G54" s="61"/>
      <c r="H54" s="1" t="s">
        <v>21</v>
      </c>
      <c r="I54" s="5"/>
      <c r="J54" s="5"/>
      <c r="K54" s="5" t="s">
        <v>266</v>
      </c>
    </row>
    <row r="55" spans="1:11" ht="57.6">
      <c r="A55" s="10" t="s">
        <v>257</v>
      </c>
      <c r="B55" s="8" t="s">
        <v>267</v>
      </c>
      <c r="C55" s="1" t="s">
        <v>268</v>
      </c>
      <c r="D55" s="4"/>
      <c r="E55" s="1" t="b">
        <f t="shared" si="7"/>
        <v>0</v>
      </c>
      <c r="F55" s="4"/>
      <c r="G55" s="61"/>
      <c r="H55" s="1" t="s">
        <v>23</v>
      </c>
      <c r="I55" s="5"/>
      <c r="J55" s="5"/>
      <c r="K55" s="5" t="s">
        <v>269</v>
      </c>
    </row>
    <row r="56" spans="1:11" ht="28.8">
      <c r="A56" s="10" t="s">
        <v>270</v>
      </c>
      <c r="B56" s="4" t="s">
        <v>271</v>
      </c>
      <c r="C56" s="1" t="s">
        <v>272</v>
      </c>
      <c r="D56" s="2" t="s">
        <v>273</v>
      </c>
      <c r="E56" s="1" t="b">
        <f t="shared" si="7"/>
        <v>0</v>
      </c>
      <c r="F56" s="4"/>
      <c r="G56" s="62"/>
      <c r="H56" s="1" t="s">
        <v>23</v>
      </c>
      <c r="I56" s="5"/>
      <c r="J56" s="5"/>
      <c r="K56" s="5" t="s">
        <v>274</v>
      </c>
    </row>
    <row r="57" spans="1:11" ht="72">
      <c r="A57" s="10" t="s">
        <v>270</v>
      </c>
      <c r="B57" s="4" t="s">
        <v>275</v>
      </c>
      <c r="C57" s="1" t="s">
        <v>276</v>
      </c>
      <c r="D57" s="2" t="s">
        <v>273</v>
      </c>
      <c r="E57" s="1" t="b">
        <f t="shared" si="7"/>
        <v>0</v>
      </c>
      <c r="F57" s="4"/>
      <c r="G57" s="62"/>
      <c r="H57" s="1" t="s">
        <v>21</v>
      </c>
      <c r="I57" s="5"/>
      <c r="J57" s="5"/>
      <c r="K57" s="5" t="s">
        <v>277</v>
      </c>
    </row>
    <row r="58" spans="1:11" ht="72">
      <c r="A58" s="10" t="s">
        <v>278</v>
      </c>
      <c r="B58" s="4" t="s">
        <v>279</v>
      </c>
      <c r="C58" s="1" t="s">
        <v>280</v>
      </c>
      <c r="D58" s="2"/>
      <c r="E58" s="1" t="b">
        <f t="shared" si="7"/>
        <v>0</v>
      </c>
      <c r="F58" s="4"/>
      <c r="G58" s="66"/>
      <c r="H58" s="1" t="s">
        <v>21</v>
      </c>
      <c r="I58" s="5"/>
      <c r="J58" s="5"/>
      <c r="K58" s="5" t="s">
        <v>281</v>
      </c>
    </row>
    <row r="59" spans="1:11" ht="43.2">
      <c r="A59" s="10" t="s">
        <v>278</v>
      </c>
      <c r="B59" s="4" t="s">
        <v>282</v>
      </c>
      <c r="C59" s="1" t="s">
        <v>283</v>
      </c>
      <c r="D59" s="1"/>
      <c r="E59" s="1" t="b">
        <f t="shared" si="7"/>
        <v>0</v>
      </c>
      <c r="F59" s="4"/>
      <c r="G59" s="61"/>
      <c r="H59" s="1" t="s">
        <v>23</v>
      </c>
      <c r="I59" s="5"/>
      <c r="J59" s="5"/>
      <c r="K59" s="5" t="s">
        <v>284</v>
      </c>
    </row>
    <row r="60" spans="1:11" ht="43.2">
      <c r="A60" s="10" t="s">
        <v>278</v>
      </c>
      <c r="B60" s="4" t="s">
        <v>285</v>
      </c>
      <c r="C60" s="1" t="s">
        <v>286</v>
      </c>
      <c r="D60" s="1"/>
      <c r="E60" s="1" t="b">
        <f t="shared" si="7"/>
        <v>0</v>
      </c>
      <c r="F60" s="4"/>
      <c r="G60" s="61"/>
      <c r="H60" s="1" t="s">
        <v>23</v>
      </c>
      <c r="I60" s="5"/>
      <c r="J60" s="5"/>
      <c r="K60" s="5" t="s">
        <v>287</v>
      </c>
    </row>
    <row r="61" spans="1:11" ht="43.2">
      <c r="A61" s="10" t="s">
        <v>278</v>
      </c>
      <c r="B61" s="4" t="s">
        <v>288</v>
      </c>
      <c r="C61" s="1" t="s">
        <v>289</v>
      </c>
      <c r="D61" s="9"/>
      <c r="E61" s="1" t="b">
        <f t="shared" si="7"/>
        <v>0</v>
      </c>
      <c r="F61" s="4"/>
      <c r="G61" s="66"/>
      <c r="H61" s="1" t="s">
        <v>21</v>
      </c>
      <c r="I61" s="5"/>
      <c r="J61" s="5"/>
      <c r="K61" s="5" t="s">
        <v>290</v>
      </c>
    </row>
    <row r="62" spans="1:11" ht="28.8">
      <c r="A62" s="10" t="s">
        <v>278</v>
      </c>
      <c r="B62" s="4" t="s">
        <v>291</v>
      </c>
      <c r="C62" s="1" t="s">
        <v>292</v>
      </c>
      <c r="D62" s="9"/>
      <c r="E62" s="1" t="b">
        <f t="shared" si="7"/>
        <v>0</v>
      </c>
      <c r="F62" s="4"/>
      <c r="G62" s="66"/>
      <c r="H62" s="1" t="s">
        <v>21</v>
      </c>
      <c r="I62" s="5"/>
      <c r="J62" s="5"/>
      <c r="K62" s="5" t="s">
        <v>293</v>
      </c>
    </row>
    <row r="63" spans="1:11" ht="43.2">
      <c r="A63" s="10" t="s">
        <v>278</v>
      </c>
      <c r="B63" s="8" t="s">
        <v>294</v>
      </c>
      <c r="C63" s="1" t="s">
        <v>295</v>
      </c>
      <c r="D63" s="9"/>
      <c r="E63" s="1" t="b">
        <f t="shared" si="7"/>
        <v>0</v>
      </c>
      <c r="F63" s="4"/>
      <c r="G63" s="66"/>
      <c r="H63" s="1" t="s">
        <v>23</v>
      </c>
      <c r="I63" s="5"/>
      <c r="J63" s="5"/>
      <c r="K63" s="5" t="s">
        <v>296</v>
      </c>
    </row>
    <row r="64" spans="1:11" ht="72">
      <c r="A64" s="10" t="s">
        <v>278</v>
      </c>
      <c r="B64" s="4" t="s">
        <v>297</v>
      </c>
      <c r="C64" s="1" t="s">
        <v>298</v>
      </c>
      <c r="D64" s="2"/>
      <c r="E64" s="1" t="b">
        <f t="shared" si="7"/>
        <v>0</v>
      </c>
      <c r="F64" s="4"/>
      <c r="G64" s="66"/>
      <c r="H64" s="1" t="s">
        <v>23</v>
      </c>
      <c r="I64" s="5"/>
      <c r="J64" s="5"/>
      <c r="K64" s="5" t="s">
        <v>299</v>
      </c>
    </row>
    <row r="65" spans="1:11" ht="28.8">
      <c r="A65" s="10" t="s">
        <v>278</v>
      </c>
      <c r="B65" s="4" t="s">
        <v>300</v>
      </c>
      <c r="C65" s="1" t="s">
        <v>301</v>
      </c>
      <c r="D65" s="9"/>
      <c r="E65" s="1" t="b">
        <f t="shared" si="7"/>
        <v>0</v>
      </c>
      <c r="F65" s="4"/>
      <c r="G65" s="66"/>
      <c r="H65" s="1" t="s">
        <v>21</v>
      </c>
      <c r="I65" s="5"/>
      <c r="J65" s="5"/>
      <c r="K65" s="5" t="s">
        <v>302</v>
      </c>
    </row>
    <row r="66" spans="1:11" ht="28.8">
      <c r="A66" s="10" t="s">
        <v>278</v>
      </c>
      <c r="B66" s="4" t="s">
        <v>303</v>
      </c>
      <c r="C66" s="1" t="s">
        <v>304</v>
      </c>
      <c r="D66" s="9"/>
      <c r="E66" s="1" t="b">
        <f t="shared" si="7"/>
        <v>0</v>
      </c>
      <c r="F66" s="4"/>
      <c r="G66" s="61"/>
      <c r="H66" s="1" t="s">
        <v>21</v>
      </c>
      <c r="I66" s="5"/>
      <c r="J66" s="5"/>
      <c r="K66" s="5" t="s">
        <v>305</v>
      </c>
    </row>
    <row r="67" spans="1:11" ht="28.8">
      <c r="A67" s="10" t="s">
        <v>306</v>
      </c>
      <c r="B67" s="4" t="s">
        <v>307</v>
      </c>
      <c r="C67" s="1" t="s">
        <v>308</v>
      </c>
      <c r="D67" s="2" t="s">
        <v>309</v>
      </c>
      <c r="E67" s="1" t="b">
        <f t="shared" si="7"/>
        <v>0</v>
      </c>
      <c r="F67" s="4"/>
      <c r="G67" s="62"/>
      <c r="H67" s="1" t="s">
        <v>25</v>
      </c>
      <c r="I67" s="5"/>
      <c r="J67" s="5"/>
      <c r="K67" s="5" t="s">
        <v>310</v>
      </c>
    </row>
    <row r="68" spans="1:11" ht="57.6">
      <c r="A68" s="10" t="s">
        <v>306</v>
      </c>
      <c r="B68" s="8" t="s">
        <v>311</v>
      </c>
      <c r="C68" s="1" t="s">
        <v>312</v>
      </c>
      <c r="D68" s="2" t="s">
        <v>313</v>
      </c>
      <c r="E68" s="1" t="b">
        <f t="shared" si="7"/>
        <v>0</v>
      </c>
      <c r="F68" s="4"/>
      <c r="G68" s="61"/>
      <c r="H68" s="1" t="s">
        <v>25</v>
      </c>
      <c r="I68" s="5"/>
      <c r="J68" s="5"/>
      <c r="K68" s="5" t="s">
        <v>314</v>
      </c>
    </row>
    <row r="69" spans="1:11" ht="57.6">
      <c r="A69" s="10" t="s">
        <v>306</v>
      </c>
      <c r="B69" s="4" t="s">
        <v>315</v>
      </c>
      <c r="C69" s="102" t="s">
        <v>316</v>
      </c>
      <c r="D69" s="2" t="s">
        <v>313</v>
      </c>
      <c r="E69" s="1" t="b">
        <f t="shared" si="7"/>
        <v>0</v>
      </c>
      <c r="F69" s="4"/>
      <c r="G69" s="61"/>
      <c r="H69" s="1" t="s">
        <v>23</v>
      </c>
      <c r="I69" s="5"/>
      <c r="J69" s="5"/>
      <c r="K69" s="5" t="s">
        <v>317</v>
      </c>
    </row>
    <row r="70" spans="1:11" ht="28.8">
      <c r="A70" s="10" t="s">
        <v>306</v>
      </c>
      <c r="B70" s="4" t="s">
        <v>318</v>
      </c>
      <c r="C70" s="1" t="s">
        <v>319</v>
      </c>
      <c r="D70" s="78" t="s">
        <v>320</v>
      </c>
      <c r="E70" s="1" t="b">
        <f t="shared" si="7"/>
        <v>0</v>
      </c>
      <c r="F70" s="4"/>
      <c r="G70" s="62"/>
      <c r="H70" s="1" t="s">
        <v>23</v>
      </c>
      <c r="I70" s="5"/>
      <c r="J70" s="5"/>
      <c r="K70" s="5" t="s">
        <v>321</v>
      </c>
    </row>
    <row r="71" spans="1:11" ht="57.6">
      <c r="A71" s="10" t="s">
        <v>306</v>
      </c>
      <c r="B71" s="4" t="s">
        <v>322</v>
      </c>
      <c r="C71" s="1" t="s">
        <v>323</v>
      </c>
      <c r="D71" s="5" t="s">
        <v>324</v>
      </c>
      <c r="E71" s="1" t="b">
        <f t="shared" si="7"/>
        <v>1</v>
      </c>
      <c r="F71" s="4"/>
      <c r="G71" s="64"/>
      <c r="H71" s="1" t="s">
        <v>21</v>
      </c>
      <c r="I71" s="5"/>
      <c r="J71" s="5"/>
      <c r="K71" s="5" t="s">
        <v>325</v>
      </c>
    </row>
    <row r="72" spans="1:11" ht="57.6">
      <c r="A72" s="10" t="s">
        <v>306</v>
      </c>
      <c r="B72" s="4" t="s">
        <v>326</v>
      </c>
      <c r="C72" s="1" t="s">
        <v>327</v>
      </c>
      <c r="E72" s="1" t="b">
        <f t="shared" si="7"/>
        <v>0</v>
      </c>
      <c r="F72" s="4"/>
      <c r="G72" s="61"/>
      <c r="H72" s="1" t="s">
        <v>23</v>
      </c>
      <c r="I72" s="5"/>
      <c r="J72" s="5"/>
      <c r="K72" s="5" t="s">
        <v>328</v>
      </c>
    </row>
    <row r="73" spans="1:11" ht="28.8">
      <c r="A73" s="10" t="s">
        <v>306</v>
      </c>
      <c r="B73" s="4" t="s">
        <v>329</v>
      </c>
      <c r="C73" s="1" t="s">
        <v>330</v>
      </c>
      <c r="D73" s="2" t="s">
        <v>313</v>
      </c>
      <c r="E73" s="1" t="b">
        <f t="shared" si="7"/>
        <v>0</v>
      </c>
      <c r="F73" s="4"/>
      <c r="G73" s="61"/>
      <c r="H73" s="1" t="s">
        <v>23</v>
      </c>
      <c r="I73" s="5"/>
      <c r="J73" s="5"/>
      <c r="K73" s="5" t="s">
        <v>331</v>
      </c>
    </row>
    <row r="74" spans="1:11" ht="28.8">
      <c r="A74" s="10" t="s">
        <v>306</v>
      </c>
      <c r="B74" s="4" t="s">
        <v>332</v>
      </c>
      <c r="C74" s="1" t="s">
        <v>333</v>
      </c>
      <c r="D74" s="2" t="s">
        <v>313</v>
      </c>
      <c r="E74" s="1" t="b">
        <f t="shared" si="7"/>
        <v>0</v>
      </c>
      <c r="F74" s="4"/>
      <c r="G74" s="62"/>
      <c r="H74" s="1" t="s">
        <v>25</v>
      </c>
      <c r="I74" s="5"/>
      <c r="J74" s="5"/>
      <c r="K74" s="5" t="s">
        <v>334</v>
      </c>
    </row>
    <row r="76" spans="1:11" ht="15.6">
      <c r="A76" s="110" t="s">
        <v>335</v>
      </c>
    </row>
    <row r="78" spans="1:11" ht="28.8">
      <c r="A78" s="108" t="s">
        <v>88</v>
      </c>
      <c r="B78" s="108" t="s">
        <v>89</v>
      </c>
      <c r="C78" s="108" t="s">
        <v>90</v>
      </c>
      <c r="D78" s="108" t="s">
        <v>91</v>
      </c>
      <c r="E78" s="108" t="s">
        <v>92</v>
      </c>
      <c r="F78" s="108" t="s">
        <v>93</v>
      </c>
      <c r="G78" s="109" t="s">
        <v>94</v>
      </c>
      <c r="H78" s="109" t="s">
        <v>95</v>
      </c>
      <c r="I78" s="108" t="s">
        <v>96</v>
      </c>
      <c r="J78" s="108" t="s">
        <v>97</v>
      </c>
      <c r="K78" s="108" t="s">
        <v>98</v>
      </c>
    </row>
    <row r="79" spans="1:11" ht="28.8">
      <c r="A79" s="10" t="s">
        <v>336</v>
      </c>
      <c r="B79" s="4" t="s">
        <v>337</v>
      </c>
      <c r="C79" s="1" t="s">
        <v>338</v>
      </c>
      <c r="D79" s="3"/>
      <c r="E79" s="1" t="b">
        <f>NOT(ISNA(VLOOKUP(CONCATENATE(B79,":TRUE"),RequiredCompensatoryControls,1,FALSE)))</f>
        <v>0</v>
      </c>
      <c r="F79" s="4"/>
      <c r="G79" s="61"/>
      <c r="H79" s="1" t="s">
        <v>23</v>
      </c>
      <c r="I79" s="5"/>
      <c r="J79" s="5"/>
      <c r="K79" s="5" t="s">
        <v>339</v>
      </c>
    </row>
    <row r="80" spans="1:11" ht="28.8">
      <c r="A80" s="10" t="s">
        <v>336</v>
      </c>
      <c r="B80" s="4" t="s">
        <v>340</v>
      </c>
      <c r="C80" s="1" t="s">
        <v>341</v>
      </c>
      <c r="D80" s="3"/>
      <c r="E80" s="1" t="b">
        <f>NOT(ISNA(VLOOKUP(CONCATENATE(B80,":TRUE"),RequiredCompensatoryControls,1,FALSE)))</f>
        <v>0</v>
      </c>
      <c r="F80" s="4"/>
      <c r="G80" s="61"/>
      <c r="H80" s="1" t="s">
        <v>25</v>
      </c>
      <c r="I80" s="5"/>
      <c r="J80" s="5"/>
      <c r="K80" s="5" t="s">
        <v>342</v>
      </c>
    </row>
    <row r="81" spans="1:11" ht="43.2">
      <c r="A81" s="10" t="s">
        <v>336</v>
      </c>
      <c r="B81" s="4" t="s">
        <v>343</v>
      </c>
      <c r="C81" s="1" t="s">
        <v>344</v>
      </c>
      <c r="D81" s="3"/>
      <c r="E81" s="1" t="b">
        <f>NOT(ISNA(VLOOKUP(CONCATENATE(B81,":TRUE"),RequiredCompensatoryControls,1,FALSE)))</f>
        <v>0</v>
      </c>
      <c r="F81" s="4"/>
      <c r="G81" s="61"/>
      <c r="H81" s="1" t="s">
        <v>25</v>
      </c>
      <c r="I81" s="5"/>
      <c r="J81" s="5"/>
      <c r="K81" s="5" t="s">
        <v>345</v>
      </c>
    </row>
  </sheetData>
  <autoFilter ref="A2:K81" xr:uid="{00000000-0001-0000-0000-000000000000}"/>
  <sortState xmlns:xlrd2="http://schemas.microsoft.com/office/spreadsheetml/2017/richdata2" ref="A3:I74">
    <sortCondition ref="A3:A74"/>
  </sortState>
  <conditionalFormatting sqref="A3:J74">
    <cfRule type="expression" dxfId="99" priority="47">
      <formula>AND($E3,$F3="Yes")</formula>
    </cfRule>
    <cfRule type="expression" dxfId="98" priority="46">
      <formula>AND($E3,$F3="Partial")</formula>
    </cfRule>
    <cfRule type="expression" dxfId="97" priority="45">
      <formula>AND($E3,$F3="No")</formula>
    </cfRule>
    <cfRule type="expression" dxfId="96" priority="44">
      <formula>NOT($E3)</formula>
    </cfRule>
  </conditionalFormatting>
  <conditionalFormatting sqref="A79:J81">
    <cfRule type="expression" dxfId="95" priority="59">
      <formula>AND($E79,$F79="Yes")</formula>
    </cfRule>
    <cfRule type="expression" dxfId="94" priority="58">
      <formula>AND($E79,$F79="Partial")</formula>
    </cfRule>
    <cfRule type="expression" dxfId="93" priority="57">
      <formula>AND($E79,$F79="No")</formula>
    </cfRule>
    <cfRule type="expression" dxfId="92" priority="56">
      <formula>NOT($E79)</formula>
    </cfRule>
  </conditionalFormatting>
  <conditionalFormatting sqref="J79:J81">
    <cfRule type="expression" dxfId="91" priority="43">
      <formula>AND($E79,$F79="Yes")</formula>
    </cfRule>
    <cfRule type="expression" dxfId="90" priority="42">
      <formula>AND($E79,$F79="Partial")</formula>
    </cfRule>
    <cfRule type="expression" dxfId="89" priority="41">
      <formula>AND($E79,$F79="No")</formula>
    </cfRule>
  </conditionalFormatting>
  <conditionalFormatting sqref="J3:K74">
    <cfRule type="expression" dxfId="88" priority="29">
      <formula>AND($E3,$F3="No")</formula>
    </cfRule>
    <cfRule type="expression" dxfId="87" priority="31">
      <formula>AND($E3,$F3="Yes")</formula>
    </cfRule>
    <cfRule type="expression" dxfId="86" priority="30">
      <formula>AND($E3,$F3="Partial")</formula>
    </cfRule>
  </conditionalFormatting>
  <conditionalFormatting sqref="K3:K74">
    <cfRule type="expression" dxfId="85" priority="28">
      <formula>NOT($E3)</formula>
    </cfRule>
    <cfRule type="expression" dxfId="84" priority="22">
      <formula>AND($E3,$F3="No")</formula>
    </cfRule>
    <cfRule type="expression" dxfId="83" priority="23">
      <formula>AND($E3,$F3="Partial")</formula>
    </cfRule>
    <cfRule type="expression" dxfId="82" priority="24">
      <formula>AND($E3,$F3="Yes")</formula>
    </cfRule>
  </conditionalFormatting>
  <conditionalFormatting sqref="K79">
    <cfRule type="expression" dxfId="81" priority="21">
      <formula>AND($E79,$F79="Yes")</formula>
    </cfRule>
    <cfRule type="expression" dxfId="80" priority="20">
      <formula>AND($E79,$F79="Partial")</formula>
    </cfRule>
    <cfRule type="expression" dxfId="79" priority="19">
      <formula>AND($E79,$F79="No")</formula>
    </cfRule>
    <cfRule type="expression" dxfId="78" priority="18">
      <formula>NOT($E79)</formula>
    </cfRule>
  </conditionalFormatting>
  <conditionalFormatting sqref="K79:K80">
    <cfRule type="expression" dxfId="77" priority="14">
      <formula>AND($E79,$F79="Yes")</formula>
    </cfRule>
    <cfRule type="expression" dxfId="76" priority="13">
      <formula>AND($E79,$F79="Partial")</formula>
    </cfRule>
    <cfRule type="expression" dxfId="75" priority="12">
      <formula>AND($E79,$F79="No")</formula>
    </cfRule>
  </conditionalFormatting>
  <conditionalFormatting sqref="K80">
    <cfRule type="expression" dxfId="74" priority="11">
      <formula>NOT($E80)</formula>
    </cfRule>
  </conditionalFormatting>
  <conditionalFormatting sqref="K80:K81">
    <cfRule type="expression" dxfId="73" priority="7">
      <formula>AND($E80,$F80="Yes")</formula>
    </cfRule>
    <cfRule type="expression" dxfId="72" priority="6">
      <formula>AND($E80,$F80="Partial")</formula>
    </cfRule>
    <cfRule type="expression" dxfId="71" priority="5">
      <formula>AND($E80,$F80="No")</formula>
    </cfRule>
  </conditionalFormatting>
  <conditionalFormatting sqref="K81">
    <cfRule type="expression" dxfId="70" priority="2">
      <formula>AND($E81,$F81="Partial")</formula>
    </cfRule>
    <cfRule type="expression" dxfId="69" priority="4">
      <formula>NOT($E81)</formula>
    </cfRule>
    <cfRule type="expression" dxfId="68" priority="3">
      <formula>AND($E81,$F81="Yes")</formula>
    </cfRule>
    <cfRule type="expression" dxfId="67" priority="1">
      <formula>AND($E81,$F81="No")</formula>
    </cfRule>
  </conditionalFormatting>
  <dataValidations count="2">
    <dataValidation type="list" allowBlank="1" showInputMessage="1" showErrorMessage="1" sqref="F79:F81 F3:F74" xr:uid="{00000000-0002-0000-0000-000006000000}">
      <formula1>"Yes,No,Partial"</formula1>
    </dataValidation>
    <dataValidation type="list" allowBlank="1" showInputMessage="1" showErrorMessage="1" sqref="H79:H1048576 H1:H77" xr:uid="{B4DA5E9C-2714-492C-AA9C-27B61331DF0F}">
      <formula1>ImplementationCost</formula1>
    </dataValidation>
  </dataValidations>
  <hyperlinks>
    <hyperlink ref="D3" r:id="rId1" xr:uid="{00000000-0004-0000-0000-000001000000}"/>
    <hyperlink ref="D67" r:id="rId2" xr:uid="{00000000-0004-0000-0000-000002000000}"/>
    <hyperlink ref="D70" r:id="rId3" xr:uid="{00000000-0004-0000-0000-000007000000}"/>
    <hyperlink ref="D56" r:id="rId4" xr:uid="{00000000-0004-0000-0000-000008000000}"/>
    <hyperlink ref="D27" r:id="rId5" xr:uid="{00000000-0004-0000-0000-000019000000}"/>
    <hyperlink ref="D37" r:id="rId6" xr:uid="{00000000-0004-0000-0000-000018000000}"/>
    <hyperlink ref="D4:D10" r:id="rId7" display="Access and Privileges Management Framework" xr:uid="{46F3C2F3-2271-4DAE-A7E8-681029D88678}"/>
    <hyperlink ref="D28:D32" r:id="rId8" display="Data Security Controls Standard" xr:uid="{7FD3F790-755F-4826-944C-D8D8120EE4DC}"/>
    <hyperlink ref="D40" r:id="rId9" xr:uid="{3470D179-4E69-4D67-8876-AB58544D6583}"/>
    <hyperlink ref="D43:D44" r:id="rId10" display="Endpoint Security Standard" xr:uid="{5D7ADC15-FEC5-41A7-BB22-8DEB35BB9AD2}"/>
    <hyperlink ref="D45" r:id="rId11" xr:uid="{E00DE0AE-CAF7-4C6A-BE57-FAB6909328DD}"/>
    <hyperlink ref="D46:D51" r:id="rId12" display="Application Integration Security Standard" xr:uid="{A3C74F4E-A4EB-44D6-9FC3-3CFA1A88EDC4}"/>
    <hyperlink ref="D57" r:id="rId13" xr:uid="{A8AA1A6E-6382-435C-9E09-4BC67A595210}"/>
    <hyperlink ref="D68" r:id="rId14" xr:uid="{44FD9100-5E77-482E-8AF7-2999311288CB}"/>
    <hyperlink ref="D69" r:id="rId15" xr:uid="{EC61DF17-A192-4732-8795-DD135FD13336}"/>
    <hyperlink ref="D73" r:id="rId16" xr:uid="{AF4B998E-CA3F-4C1A-BCBE-AA42525BEDA2}"/>
    <hyperlink ref="D74" r:id="rId17" xr:uid="{0F93099D-F45D-40D4-8A41-20C50489AF38}"/>
  </hyperlinks>
  <pageMargins left="0.7" right="0.7" top="0.75" bottom="0.75" header="0.3" footer="0.3"/>
  <pageSetup paperSize="9" orientation="portrait"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D057-4412-4BDF-8D2B-83D91B2E0A56}">
  <dimension ref="A1:R28"/>
  <sheetViews>
    <sheetView zoomScale="85" zoomScaleNormal="85" workbookViewId="0">
      <selection activeCell="B17" sqref="B17"/>
    </sheetView>
  </sheetViews>
  <sheetFormatPr defaultRowHeight="29.25" customHeight="1"/>
  <cols>
    <col min="1" max="1" width="9.109375" customWidth="1"/>
    <col min="2" max="2" width="66.44140625" style="17" customWidth="1"/>
    <col min="3" max="3" width="15" hidden="1" customWidth="1"/>
    <col min="4" max="4" width="12.5546875" hidden="1" customWidth="1"/>
    <col min="5" max="5" width="25.33203125" hidden="1" customWidth="1"/>
    <col min="6" max="6" width="15.44140625" hidden="1" customWidth="1"/>
    <col min="7" max="7" width="12.33203125" style="17" hidden="1" customWidth="1"/>
    <col min="8" max="8" width="13.5546875" hidden="1" customWidth="1"/>
    <col min="9" max="10" width="13.109375" style="132" bestFit="1" customWidth="1"/>
    <col min="11" max="11" width="14.44140625" style="132" customWidth="1"/>
    <col min="12" max="12" width="9.88671875" hidden="1" customWidth="1"/>
    <col min="13" max="13" width="42.5546875" style="17" customWidth="1"/>
    <col min="14" max="14" width="6.109375" hidden="1" customWidth="1"/>
    <col min="15" max="15" width="9.88671875" style="132" bestFit="1" customWidth="1"/>
    <col min="16" max="16" width="48" style="17" customWidth="1"/>
    <col min="17" max="17" width="32.88671875" style="17" customWidth="1"/>
    <col min="18" max="18" width="0" hidden="1" customWidth="1"/>
  </cols>
  <sheetData>
    <row r="1" spans="1:18" s="129" customFormat="1" ht="40.5" customHeight="1">
      <c r="A1" s="127" t="s">
        <v>346</v>
      </c>
      <c r="B1" s="127" t="s">
        <v>347</v>
      </c>
      <c r="C1" s="128" t="s">
        <v>348</v>
      </c>
      <c r="D1" s="128" t="s">
        <v>349</v>
      </c>
      <c r="E1" s="128" t="s">
        <v>350</v>
      </c>
      <c r="F1" s="128" t="s">
        <v>351</v>
      </c>
      <c r="G1" s="128" t="s">
        <v>352</v>
      </c>
      <c r="H1" s="128" t="s">
        <v>353</v>
      </c>
      <c r="I1" s="130" t="s">
        <v>354</v>
      </c>
      <c r="J1" s="130" t="s">
        <v>355</v>
      </c>
      <c r="K1" s="130" t="s">
        <v>356</v>
      </c>
      <c r="L1" s="126" t="s">
        <v>357</v>
      </c>
      <c r="M1" s="127" t="s">
        <v>358</v>
      </c>
      <c r="N1" s="126" t="s">
        <v>359</v>
      </c>
      <c r="O1" s="130" t="s">
        <v>360</v>
      </c>
      <c r="P1" s="127" t="s">
        <v>96</v>
      </c>
      <c r="Q1" s="127" t="s">
        <v>97</v>
      </c>
      <c r="R1" s="126" t="s">
        <v>361</v>
      </c>
    </row>
    <row r="2" spans="1:18" ht="29.25" customHeight="1">
      <c r="A2" s="124" t="e" cm="1">
        <f t="array" ref="A2">_xlfn._xlws.SORT(_xlfn._xlws.FILTER(MissingControlRisks,ControlInPlace=FALSE),15,-1)</f>
        <v>#N/A</v>
      </c>
      <c r="B2" s="125"/>
      <c r="C2" s="124"/>
      <c r="D2" s="124"/>
      <c r="E2" s="124"/>
      <c r="F2" s="124"/>
      <c r="G2" s="125"/>
      <c r="H2" s="124"/>
      <c r="I2" s="131"/>
      <c r="J2" s="131"/>
      <c r="K2" s="131"/>
      <c r="L2" s="124"/>
      <c r="M2" s="125"/>
      <c r="N2" s="124"/>
      <c r="O2" s="131"/>
      <c r="P2" s="125"/>
    </row>
    <row r="3" spans="1:18" ht="29.25" customHeight="1">
      <c r="A3" s="124"/>
      <c r="B3" s="125"/>
      <c r="C3" s="124"/>
      <c r="D3" s="124"/>
      <c r="E3" s="124"/>
      <c r="F3" s="124"/>
      <c r="G3" s="125"/>
      <c r="H3" s="124"/>
      <c r="I3" s="131"/>
      <c r="J3" s="131"/>
      <c r="K3" s="131"/>
      <c r="L3" s="124"/>
      <c r="M3" s="125"/>
      <c r="N3" s="124"/>
      <c r="O3" s="131"/>
      <c r="P3" s="125"/>
    </row>
    <row r="4" spans="1:18" ht="29.25" customHeight="1">
      <c r="A4" s="124"/>
      <c r="B4" s="125"/>
      <c r="C4" s="124"/>
      <c r="D4" s="124"/>
      <c r="E4" s="124"/>
      <c r="F4" s="124"/>
      <c r="G4" s="125"/>
      <c r="H4" s="124"/>
      <c r="I4" s="131"/>
      <c r="J4" s="131"/>
      <c r="K4" s="131"/>
      <c r="L4" s="124"/>
      <c r="M4" s="125"/>
      <c r="N4" s="124"/>
      <c r="O4" s="131"/>
      <c r="P4" s="125"/>
    </row>
    <row r="5" spans="1:18" ht="29.25" customHeight="1">
      <c r="A5" s="124"/>
      <c r="B5" s="125"/>
      <c r="C5" s="124"/>
      <c r="D5" s="124"/>
      <c r="E5" s="124"/>
      <c r="F5" s="124"/>
      <c r="G5" s="125"/>
      <c r="H5" s="124"/>
      <c r="I5" s="131"/>
      <c r="J5" s="131"/>
      <c r="K5" s="131"/>
      <c r="L5" s="124"/>
      <c r="M5" s="125"/>
      <c r="N5" s="124"/>
      <c r="O5" s="131"/>
      <c r="P5" s="125"/>
    </row>
    <row r="6" spans="1:18" ht="29.25" customHeight="1">
      <c r="A6" s="124"/>
      <c r="B6" s="125"/>
      <c r="C6" s="124"/>
      <c r="D6" s="124"/>
      <c r="E6" s="124"/>
      <c r="F6" s="124"/>
      <c r="G6" s="125"/>
      <c r="H6" s="124"/>
      <c r="I6" s="131"/>
      <c r="J6" s="131"/>
      <c r="K6" s="131"/>
      <c r="L6" s="124"/>
      <c r="M6" s="125"/>
      <c r="N6" s="124"/>
      <c r="O6" s="131"/>
      <c r="P6" s="125"/>
    </row>
    <row r="7" spans="1:18" ht="29.25" customHeight="1">
      <c r="A7" s="124"/>
      <c r="B7" s="125"/>
      <c r="C7" s="124"/>
      <c r="D7" s="124"/>
      <c r="E7" s="124"/>
      <c r="F7" s="124"/>
      <c r="G7" s="125"/>
      <c r="H7" s="124"/>
      <c r="I7" s="131"/>
      <c r="J7" s="131"/>
      <c r="K7" s="131"/>
      <c r="L7" s="124"/>
      <c r="M7" s="125"/>
      <c r="N7" s="124"/>
      <c r="O7" s="131"/>
      <c r="P7" s="125"/>
    </row>
    <row r="8" spans="1:18" ht="14.4">
      <c r="A8" s="124"/>
      <c r="B8" s="125"/>
      <c r="C8" s="124"/>
      <c r="D8" s="124"/>
      <c r="E8" s="124"/>
      <c r="F8" s="124"/>
      <c r="G8" s="125"/>
      <c r="H8" s="124"/>
      <c r="I8" s="131"/>
      <c r="J8" s="131"/>
      <c r="K8" s="131"/>
      <c r="L8" s="124"/>
      <c r="M8" s="125"/>
      <c r="N8" s="124"/>
      <c r="O8" s="131"/>
      <c r="P8" s="125"/>
    </row>
    <row r="9" spans="1:18" ht="29.25" customHeight="1">
      <c r="A9" s="124"/>
      <c r="B9" s="125"/>
      <c r="C9" s="124"/>
      <c r="D9" s="124"/>
      <c r="E9" s="124"/>
      <c r="F9" s="124"/>
      <c r="G9" s="125"/>
      <c r="H9" s="124"/>
      <c r="I9" s="131"/>
      <c r="J9" s="131"/>
      <c r="K9" s="131"/>
      <c r="L9" s="124"/>
      <c r="M9" s="125"/>
      <c r="N9" s="124"/>
      <c r="O9" s="131"/>
      <c r="P9" s="125"/>
    </row>
    <row r="10" spans="1:18" ht="29.25" customHeight="1">
      <c r="A10" s="124"/>
      <c r="B10" s="125"/>
      <c r="C10" s="124"/>
      <c r="D10" s="124"/>
      <c r="E10" s="124"/>
      <c r="F10" s="124"/>
      <c r="G10" s="125"/>
      <c r="H10" s="124"/>
      <c r="I10" s="131"/>
      <c r="J10" s="131"/>
      <c r="K10" s="131"/>
      <c r="L10" s="124"/>
      <c r="M10" s="125"/>
      <c r="N10" s="124"/>
      <c r="O10" s="131"/>
      <c r="P10" s="125"/>
    </row>
    <row r="11" spans="1:18" ht="29.25" customHeight="1">
      <c r="A11" s="124"/>
      <c r="B11" s="125"/>
      <c r="C11" s="124"/>
      <c r="D11" s="124"/>
      <c r="E11" s="124"/>
      <c r="F11" s="124"/>
      <c r="G11" s="125"/>
      <c r="H11" s="124"/>
      <c r="I11" s="131"/>
      <c r="J11" s="131"/>
      <c r="K11" s="131"/>
      <c r="L11" s="124"/>
      <c r="M11" s="125"/>
      <c r="N11" s="124"/>
      <c r="O11" s="131"/>
      <c r="P11" s="125"/>
    </row>
    <row r="12" spans="1:18" ht="29.25" customHeight="1">
      <c r="A12" s="124"/>
      <c r="B12" s="125"/>
      <c r="C12" s="124"/>
      <c r="D12" s="124"/>
      <c r="E12" s="124"/>
      <c r="F12" s="124"/>
      <c r="G12" s="125"/>
      <c r="H12" s="124"/>
      <c r="I12" s="131"/>
      <c r="J12" s="131"/>
      <c r="K12" s="131"/>
      <c r="L12" s="124"/>
      <c r="M12" s="125"/>
      <c r="N12" s="124"/>
      <c r="O12" s="131"/>
      <c r="P12" s="125"/>
    </row>
    <row r="13" spans="1:18" ht="29.25" customHeight="1">
      <c r="A13" s="124"/>
      <c r="B13" s="125"/>
      <c r="C13" s="124"/>
      <c r="D13" s="124"/>
      <c r="E13" s="124"/>
      <c r="F13" s="124"/>
      <c r="G13" s="125"/>
      <c r="H13" s="124"/>
      <c r="I13" s="131"/>
      <c r="J13" s="131"/>
      <c r="K13" s="131"/>
      <c r="L13" s="124"/>
      <c r="M13" s="125"/>
      <c r="N13" s="124"/>
      <c r="O13" s="131"/>
      <c r="P13" s="125"/>
    </row>
    <row r="14" spans="1:18" ht="29.25" customHeight="1">
      <c r="A14" s="124"/>
      <c r="B14" s="125"/>
      <c r="C14" s="124"/>
      <c r="D14" s="124"/>
      <c r="E14" s="124"/>
      <c r="F14" s="124"/>
      <c r="G14" s="125"/>
      <c r="H14" s="124"/>
      <c r="I14" s="131"/>
      <c r="J14" s="131"/>
      <c r="K14" s="131"/>
      <c r="L14" s="124"/>
      <c r="M14" s="125"/>
      <c r="N14" s="124"/>
      <c r="O14" s="131"/>
      <c r="P14" s="125"/>
    </row>
    <row r="15" spans="1:18" ht="29.25" customHeight="1">
      <c r="A15" s="124"/>
      <c r="B15" s="125"/>
      <c r="C15" s="124"/>
      <c r="D15" s="124"/>
      <c r="E15" s="124"/>
      <c r="F15" s="124"/>
      <c r="G15" s="125"/>
      <c r="H15" s="124"/>
      <c r="I15" s="131"/>
      <c r="J15" s="131"/>
      <c r="K15" s="131"/>
      <c r="L15" s="124"/>
      <c r="M15" s="125"/>
      <c r="N15" s="124"/>
      <c r="O15" s="131"/>
      <c r="P15" s="125"/>
    </row>
    <row r="16" spans="1:18" ht="29.25" customHeight="1">
      <c r="A16" s="124"/>
      <c r="B16" s="125"/>
      <c r="C16" s="124"/>
      <c r="D16" s="124"/>
      <c r="E16" s="124"/>
      <c r="F16" s="124"/>
      <c r="G16" s="125"/>
      <c r="H16" s="124"/>
      <c r="I16" s="131"/>
      <c r="J16" s="131"/>
      <c r="K16" s="131"/>
      <c r="L16" s="124"/>
      <c r="M16" s="125"/>
      <c r="N16" s="124"/>
      <c r="O16" s="131"/>
      <c r="P16" s="125"/>
    </row>
    <row r="17" spans="1:16" ht="29.25" customHeight="1">
      <c r="A17" s="124"/>
      <c r="B17" s="125"/>
      <c r="C17" s="124"/>
      <c r="D17" s="124"/>
      <c r="E17" s="124"/>
      <c r="F17" s="124"/>
      <c r="G17" s="125"/>
      <c r="H17" s="124"/>
      <c r="I17" s="131"/>
      <c r="J17" s="131"/>
      <c r="K17" s="131"/>
      <c r="L17" s="124"/>
      <c r="M17" s="125"/>
      <c r="N17" s="124"/>
      <c r="O17" s="131"/>
      <c r="P17" s="125"/>
    </row>
    <row r="18" spans="1:16" ht="29.25" customHeight="1">
      <c r="A18" s="124"/>
      <c r="B18" s="125"/>
      <c r="C18" s="124"/>
      <c r="D18" s="124"/>
      <c r="E18" s="124"/>
      <c r="F18" s="124"/>
      <c r="G18" s="125"/>
      <c r="H18" s="124"/>
      <c r="I18" s="131"/>
      <c r="J18" s="131"/>
      <c r="K18" s="131"/>
      <c r="L18" s="124"/>
      <c r="M18" s="125"/>
      <c r="N18" s="124"/>
      <c r="O18" s="131"/>
      <c r="P18" s="125"/>
    </row>
    <row r="19" spans="1:16" ht="29.25" customHeight="1">
      <c r="A19" s="124"/>
      <c r="B19" s="125"/>
      <c r="C19" s="124"/>
      <c r="D19" s="124"/>
      <c r="E19" s="124"/>
      <c r="F19" s="124"/>
      <c r="G19" s="125"/>
      <c r="H19" s="124"/>
      <c r="I19" s="131"/>
      <c r="J19" s="131"/>
      <c r="K19" s="131"/>
      <c r="L19" s="124"/>
      <c r="M19" s="125"/>
      <c r="N19" s="124"/>
      <c r="O19" s="131"/>
      <c r="P19" s="125"/>
    </row>
    <row r="20" spans="1:16" ht="29.25" customHeight="1">
      <c r="A20" s="124"/>
      <c r="B20" s="125"/>
      <c r="C20" s="124"/>
      <c r="D20" s="124"/>
      <c r="E20" s="124"/>
      <c r="F20" s="124"/>
      <c r="G20" s="125"/>
      <c r="H20" s="124"/>
      <c r="I20" s="131"/>
      <c r="J20" s="131"/>
      <c r="K20" s="131"/>
      <c r="L20" s="124"/>
      <c r="M20" s="125"/>
      <c r="N20" s="124"/>
      <c r="O20" s="131"/>
      <c r="P20" s="125"/>
    </row>
    <row r="21" spans="1:16" ht="29.25" customHeight="1">
      <c r="A21" s="124"/>
      <c r="B21" s="125"/>
      <c r="C21" s="124"/>
      <c r="D21" s="124"/>
      <c r="E21" s="124"/>
      <c r="F21" s="124"/>
      <c r="G21" s="125"/>
      <c r="H21" s="124"/>
      <c r="I21" s="131"/>
      <c r="J21" s="131"/>
      <c r="K21" s="131"/>
      <c r="L21" s="124"/>
      <c r="M21" s="125"/>
      <c r="N21" s="124"/>
      <c r="O21" s="131"/>
      <c r="P21" s="125"/>
    </row>
    <row r="22" spans="1:16" ht="29.25" customHeight="1">
      <c r="A22" s="124"/>
      <c r="B22" s="125"/>
      <c r="C22" s="124"/>
      <c r="D22" s="124"/>
      <c r="E22" s="124"/>
      <c r="F22" s="124"/>
      <c r="G22" s="125"/>
      <c r="H22" s="124"/>
      <c r="I22" s="131"/>
      <c r="J22" s="131"/>
      <c r="K22" s="131"/>
      <c r="L22" s="124"/>
      <c r="M22" s="125"/>
      <c r="N22" s="124"/>
      <c r="O22" s="131"/>
      <c r="P22" s="125"/>
    </row>
    <row r="23" spans="1:16" ht="29.25" customHeight="1">
      <c r="A23" s="124"/>
      <c r="B23" s="125"/>
      <c r="C23" s="124"/>
      <c r="D23" s="124"/>
      <c r="E23" s="124"/>
      <c r="F23" s="124"/>
      <c r="G23" s="125"/>
      <c r="H23" s="124"/>
      <c r="I23" s="131"/>
      <c r="J23" s="131"/>
      <c r="K23" s="131"/>
      <c r="L23" s="124"/>
      <c r="M23" s="125"/>
      <c r="N23" s="124"/>
      <c r="O23" s="131"/>
      <c r="P23" s="125"/>
    </row>
    <row r="24" spans="1:16" ht="29.25" customHeight="1">
      <c r="A24" s="124"/>
      <c r="B24" s="125"/>
      <c r="C24" s="124"/>
      <c r="D24" s="124"/>
      <c r="E24" s="124"/>
      <c r="F24" s="124"/>
      <c r="G24" s="125"/>
      <c r="H24" s="124"/>
      <c r="I24" s="131"/>
      <c r="J24" s="131"/>
      <c r="K24" s="131"/>
      <c r="L24" s="124"/>
      <c r="M24" s="125"/>
      <c r="N24" s="124"/>
      <c r="O24" s="131"/>
      <c r="P24" s="125"/>
    </row>
    <row r="25" spans="1:16" ht="29.25" customHeight="1">
      <c r="A25" s="124"/>
      <c r="B25" s="125"/>
      <c r="C25" s="124"/>
      <c r="D25" s="124"/>
      <c r="E25" s="124"/>
      <c r="F25" s="124"/>
      <c r="G25" s="125"/>
      <c r="H25" s="124"/>
      <c r="I25" s="131"/>
      <c r="J25" s="131"/>
      <c r="K25" s="131"/>
      <c r="L25" s="124"/>
      <c r="M25" s="125"/>
      <c r="N25" s="124"/>
      <c r="O25" s="131"/>
      <c r="P25" s="125"/>
    </row>
    <row r="26" spans="1:16" ht="29.25" customHeight="1">
      <c r="A26" s="124"/>
      <c r="B26" s="125"/>
      <c r="C26" s="124"/>
      <c r="D26" s="124"/>
      <c r="E26" s="124"/>
      <c r="F26" s="124"/>
      <c r="G26" s="125"/>
      <c r="H26" s="124"/>
      <c r="I26" s="131"/>
      <c r="J26" s="131"/>
      <c r="K26" s="131"/>
      <c r="L26" s="124"/>
      <c r="M26" s="125"/>
      <c r="N26" s="124"/>
      <c r="O26" s="131"/>
      <c r="P26" s="125"/>
    </row>
    <row r="27" spans="1:16" ht="29.25" customHeight="1">
      <c r="A27" s="124"/>
      <c r="B27" s="125"/>
      <c r="C27" s="124"/>
      <c r="D27" s="124"/>
      <c r="E27" s="124"/>
      <c r="F27" s="124"/>
      <c r="G27" s="125"/>
      <c r="H27" s="124"/>
      <c r="I27" s="131"/>
      <c r="J27" s="131"/>
      <c r="K27" s="131"/>
      <c r="L27" s="124"/>
      <c r="M27" s="125"/>
      <c r="N27" s="124"/>
      <c r="O27" s="131"/>
      <c r="P27" s="125"/>
    </row>
    <row r="28" spans="1:16" ht="29.25" customHeight="1">
      <c r="A28" s="124"/>
      <c r="B28" s="125"/>
      <c r="C28" s="124"/>
      <c r="D28" s="124"/>
      <c r="E28" s="124"/>
      <c r="F28" s="124"/>
      <c r="G28" s="125"/>
      <c r="H28" s="124"/>
      <c r="I28" s="131"/>
      <c r="J28" s="131"/>
      <c r="K28" s="131"/>
      <c r="L28" s="124"/>
      <c r="M28" s="125"/>
      <c r="N28" s="124"/>
      <c r="O28" s="131"/>
      <c r="P28" s="12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8C8-E65C-40AC-B536-C5FA3F9B9494}">
  <sheetPr codeName="Sheet3"/>
  <dimension ref="A1:K20"/>
  <sheetViews>
    <sheetView showGridLines="0" zoomScale="115" zoomScaleNormal="115" workbookViewId="0"/>
  </sheetViews>
  <sheetFormatPr defaultColWidth="11.6640625" defaultRowHeight="14.4"/>
  <cols>
    <col min="1" max="1" width="55.5546875" style="21" customWidth="1"/>
    <col min="2" max="2" width="36.5546875" style="21" customWidth="1"/>
    <col min="3" max="3" width="11.33203125" style="21" bestFit="1" customWidth="1"/>
    <col min="4" max="4" width="13.44140625" style="21" bestFit="1" customWidth="1"/>
    <col min="5" max="5" width="9.5546875" style="21" bestFit="1" customWidth="1"/>
    <col min="6" max="6" width="32.6640625" style="21" customWidth="1"/>
    <col min="7" max="7" width="10.5546875" style="21" bestFit="1" customWidth="1"/>
    <col min="8" max="8" width="13.6640625" style="21" bestFit="1" customWidth="1"/>
    <col min="9" max="9" width="11.33203125" style="21" bestFit="1" customWidth="1"/>
    <col min="10" max="10" width="16.88671875" style="21" customWidth="1"/>
    <col min="11" max="11" width="12.33203125" style="21" customWidth="1"/>
    <col min="12" max="12" width="12.44140625" style="21" bestFit="1" customWidth="1"/>
    <col min="13" max="13" width="32.33203125" style="21" customWidth="1"/>
    <col min="14" max="14" width="11.6640625" style="21"/>
    <col min="15" max="15" width="12.33203125" style="21" customWidth="1"/>
    <col min="16" max="17" width="11.6640625" style="21"/>
    <col min="18" max="18" width="22.44140625" style="21" customWidth="1"/>
    <col min="19" max="16384" width="11.6640625" style="21"/>
  </cols>
  <sheetData>
    <row r="1" spans="1:11" ht="15.6">
      <c r="A1" s="117" t="s">
        <v>362</v>
      </c>
      <c r="B1" s="119"/>
      <c r="C1" s="119"/>
      <c r="D1" s="119"/>
      <c r="E1" s="119"/>
      <c r="F1" s="119"/>
      <c r="G1" s="119"/>
      <c r="H1" s="119"/>
      <c r="I1" s="119"/>
      <c r="J1" s="119"/>
      <c r="K1" s="119"/>
    </row>
    <row r="2" spans="1:11" ht="15.6">
      <c r="A2" s="20"/>
    </row>
    <row r="3" spans="1:11" s="41" customFormat="1" ht="28.8">
      <c r="A3" s="118" t="s">
        <v>347</v>
      </c>
      <c r="B3" s="118" t="s">
        <v>363</v>
      </c>
      <c r="C3" s="118" t="s">
        <v>364</v>
      </c>
      <c r="D3" s="118" t="s">
        <v>365</v>
      </c>
      <c r="E3" s="118" t="s">
        <v>366</v>
      </c>
      <c r="F3" s="118" t="s">
        <v>367</v>
      </c>
      <c r="G3" s="118" t="s">
        <v>368</v>
      </c>
      <c r="H3" s="118" t="s">
        <v>369</v>
      </c>
      <c r="I3" s="118" t="s">
        <v>370</v>
      </c>
      <c r="J3" s="118" t="s">
        <v>371</v>
      </c>
      <c r="K3" s="118" t="s">
        <v>360</v>
      </c>
    </row>
    <row r="4" spans="1:11">
      <c r="A4" s="15"/>
      <c r="B4" s="16"/>
      <c r="C4" s="22"/>
      <c r="D4" s="22"/>
      <c r="E4" s="16" t="str">
        <f t="shared" ref="E4:E20" si="0">IF(ISERROR(VLOOKUP(C4,Risk_Rows,HLOOKUP(D4,Impact_Risk_Column,2,FALSE)+1,FALSE)),"",VLOOKUP(C4,Risk_Rows,HLOOKUP(D4,Impact_Risk_Column,2,FALSE)+1,FALSE))</f>
        <v/>
      </c>
      <c r="F4" s="16"/>
      <c r="G4" s="22"/>
      <c r="H4" s="22"/>
      <c r="I4" s="16" t="str">
        <f t="shared" ref="I4:I20" si="1">IF(ISERROR(VLOOKUP(G4,Risk_Rows,HLOOKUP(H4,Impact_Risk_Column,2,FALSE)+1,FALSE)),"",VLOOKUP(G4,Risk_Rows,HLOOKUP(H4,Impact_Risk_Column,2,FALSE)+1,FALSE))</f>
        <v/>
      </c>
      <c r="J4" s="16"/>
      <c r="K4" s="16" t="str">
        <f t="shared" ref="K4:K20" si="2">IF(ISERROR(VLOOKUP(CONCATENATE(E4,"-",J4),ControlPriority,2,FALSE)),"",VLOOKUP(CONCATENATE(E4,"-",J4),ControlPriority,2,FALSE))</f>
        <v/>
      </c>
    </row>
    <row r="5" spans="1:11">
      <c r="A5" s="15"/>
      <c r="B5" s="16"/>
      <c r="C5" s="22"/>
      <c r="D5" s="22"/>
      <c r="E5" s="16" t="str">
        <f t="shared" si="0"/>
        <v/>
      </c>
      <c r="F5" s="16"/>
      <c r="G5" s="22"/>
      <c r="H5" s="22"/>
      <c r="I5" s="16" t="str">
        <f t="shared" si="1"/>
        <v/>
      </c>
      <c r="J5" s="16"/>
      <c r="K5" s="16" t="str">
        <f t="shared" si="2"/>
        <v/>
      </c>
    </row>
    <row r="6" spans="1:11">
      <c r="A6" s="15"/>
      <c r="B6" s="16"/>
      <c r="C6" s="22"/>
      <c r="D6" s="22"/>
      <c r="E6" s="16" t="str">
        <f t="shared" si="0"/>
        <v/>
      </c>
      <c r="F6" s="16"/>
      <c r="G6" s="22"/>
      <c r="H6" s="22"/>
      <c r="I6" s="16" t="str">
        <f t="shared" si="1"/>
        <v/>
      </c>
      <c r="J6" s="16"/>
      <c r="K6" s="16" t="str">
        <f t="shared" si="2"/>
        <v/>
      </c>
    </row>
    <row r="7" spans="1:11">
      <c r="A7" s="15"/>
      <c r="B7" s="16"/>
      <c r="C7" s="22"/>
      <c r="D7" s="22"/>
      <c r="E7" s="16" t="str">
        <f t="shared" si="0"/>
        <v/>
      </c>
      <c r="F7" s="16"/>
      <c r="G7" s="22"/>
      <c r="H7" s="22"/>
      <c r="I7" s="16" t="str">
        <f t="shared" si="1"/>
        <v/>
      </c>
      <c r="J7" s="16"/>
      <c r="K7" s="16" t="str">
        <f t="shared" si="2"/>
        <v/>
      </c>
    </row>
    <row r="8" spans="1:11">
      <c r="A8" s="15"/>
      <c r="B8" s="16"/>
      <c r="C8" s="22"/>
      <c r="D8" s="22"/>
      <c r="E8" s="16" t="str">
        <f t="shared" si="0"/>
        <v/>
      </c>
      <c r="F8" s="16"/>
      <c r="G8" s="22"/>
      <c r="H8" s="22"/>
      <c r="I8" s="16" t="str">
        <f t="shared" si="1"/>
        <v/>
      </c>
      <c r="J8" s="16"/>
      <c r="K8" s="16" t="str">
        <f t="shared" si="2"/>
        <v/>
      </c>
    </row>
    <row r="9" spans="1:11">
      <c r="A9" s="15"/>
      <c r="B9" s="16"/>
      <c r="C9" s="22"/>
      <c r="D9" s="22"/>
      <c r="E9" s="16" t="str">
        <f t="shared" si="0"/>
        <v/>
      </c>
      <c r="F9" s="16"/>
      <c r="G9" s="22"/>
      <c r="H9" s="22"/>
      <c r="I9" s="16" t="str">
        <f t="shared" si="1"/>
        <v/>
      </c>
      <c r="J9" s="16"/>
      <c r="K9" s="16" t="str">
        <f t="shared" si="2"/>
        <v/>
      </c>
    </row>
    <row r="10" spans="1:11">
      <c r="A10" s="15"/>
      <c r="B10" s="16"/>
      <c r="C10" s="22"/>
      <c r="D10" s="22"/>
      <c r="E10" s="16" t="str">
        <f t="shared" si="0"/>
        <v/>
      </c>
      <c r="F10" s="16"/>
      <c r="G10" s="22"/>
      <c r="H10" s="22"/>
      <c r="I10" s="16" t="str">
        <f t="shared" si="1"/>
        <v/>
      </c>
      <c r="J10" s="16"/>
      <c r="K10" s="16" t="str">
        <f t="shared" si="2"/>
        <v/>
      </c>
    </row>
    <row r="11" spans="1:11">
      <c r="A11" s="15"/>
      <c r="B11" s="16"/>
      <c r="C11" s="22"/>
      <c r="D11" s="22"/>
      <c r="E11" s="16" t="str">
        <f t="shared" si="0"/>
        <v/>
      </c>
      <c r="F11" s="16"/>
      <c r="G11" s="22"/>
      <c r="H11" s="22"/>
      <c r="I11" s="16" t="str">
        <f t="shared" si="1"/>
        <v/>
      </c>
      <c r="J11" s="16"/>
      <c r="K11" s="16" t="str">
        <f t="shared" si="2"/>
        <v/>
      </c>
    </row>
    <row r="12" spans="1:11">
      <c r="A12" s="15"/>
      <c r="B12" s="16"/>
      <c r="C12" s="22"/>
      <c r="D12" s="22"/>
      <c r="E12" s="16" t="str">
        <f t="shared" si="0"/>
        <v/>
      </c>
      <c r="F12" s="16"/>
      <c r="G12" s="22"/>
      <c r="H12" s="22"/>
      <c r="I12" s="16" t="str">
        <f t="shared" si="1"/>
        <v/>
      </c>
      <c r="J12" s="16"/>
      <c r="K12" s="16" t="str">
        <f t="shared" si="2"/>
        <v/>
      </c>
    </row>
    <row r="13" spans="1:11">
      <c r="A13" s="15"/>
      <c r="B13" s="16"/>
      <c r="C13" s="22"/>
      <c r="D13" s="22"/>
      <c r="E13" s="16" t="str">
        <f t="shared" si="0"/>
        <v/>
      </c>
      <c r="F13" s="16"/>
      <c r="G13" s="22"/>
      <c r="H13" s="22"/>
      <c r="I13" s="16" t="str">
        <f t="shared" si="1"/>
        <v/>
      </c>
      <c r="J13" s="16"/>
      <c r="K13" s="16" t="str">
        <f t="shared" si="2"/>
        <v/>
      </c>
    </row>
    <row r="14" spans="1:11">
      <c r="A14" s="15"/>
      <c r="B14" s="16"/>
      <c r="C14" s="22"/>
      <c r="D14" s="22"/>
      <c r="E14" s="16" t="str">
        <f t="shared" si="0"/>
        <v/>
      </c>
      <c r="F14" s="16"/>
      <c r="G14" s="22"/>
      <c r="H14" s="22"/>
      <c r="I14" s="16" t="str">
        <f t="shared" si="1"/>
        <v/>
      </c>
      <c r="J14" s="16"/>
      <c r="K14" s="16" t="str">
        <f t="shared" si="2"/>
        <v/>
      </c>
    </row>
    <row r="15" spans="1:11">
      <c r="A15" s="15"/>
      <c r="B15" s="16"/>
      <c r="C15" s="22"/>
      <c r="D15" s="22"/>
      <c r="E15" s="16" t="str">
        <f t="shared" si="0"/>
        <v/>
      </c>
      <c r="F15" s="16"/>
      <c r="G15" s="22"/>
      <c r="H15" s="22"/>
      <c r="I15" s="16" t="str">
        <f t="shared" si="1"/>
        <v/>
      </c>
      <c r="J15" s="16"/>
      <c r="K15" s="16" t="str">
        <f t="shared" si="2"/>
        <v/>
      </c>
    </row>
    <row r="16" spans="1:11">
      <c r="A16" s="15"/>
      <c r="B16" s="16"/>
      <c r="C16" s="22"/>
      <c r="D16" s="22"/>
      <c r="E16" s="16" t="str">
        <f t="shared" si="0"/>
        <v/>
      </c>
      <c r="F16" s="16"/>
      <c r="G16" s="22"/>
      <c r="H16" s="22"/>
      <c r="I16" s="16" t="str">
        <f t="shared" si="1"/>
        <v/>
      </c>
      <c r="J16" s="16"/>
      <c r="K16" s="16" t="str">
        <f t="shared" si="2"/>
        <v/>
      </c>
    </row>
    <row r="17" spans="1:11">
      <c r="A17" s="15"/>
      <c r="B17" s="16"/>
      <c r="C17" s="22"/>
      <c r="D17" s="22"/>
      <c r="E17" s="16" t="str">
        <f t="shared" si="0"/>
        <v/>
      </c>
      <c r="F17" s="16"/>
      <c r="G17" s="22"/>
      <c r="H17" s="22"/>
      <c r="I17" s="16" t="str">
        <f t="shared" si="1"/>
        <v/>
      </c>
      <c r="J17" s="16"/>
      <c r="K17" s="16" t="str">
        <f t="shared" si="2"/>
        <v/>
      </c>
    </row>
    <row r="18" spans="1:11">
      <c r="A18" s="15"/>
      <c r="B18" s="16"/>
      <c r="C18" s="22"/>
      <c r="D18" s="22"/>
      <c r="E18" s="16" t="str">
        <f t="shared" si="0"/>
        <v/>
      </c>
      <c r="F18" s="16"/>
      <c r="G18" s="22"/>
      <c r="H18" s="22"/>
      <c r="I18" s="16" t="str">
        <f t="shared" si="1"/>
        <v/>
      </c>
      <c r="J18" s="16"/>
      <c r="K18" s="16" t="str">
        <f t="shared" si="2"/>
        <v/>
      </c>
    </row>
    <row r="19" spans="1:11">
      <c r="A19" s="15"/>
      <c r="B19" s="16"/>
      <c r="C19" s="22"/>
      <c r="D19" s="22"/>
      <c r="E19" s="16" t="str">
        <f t="shared" si="0"/>
        <v/>
      </c>
      <c r="F19" s="16"/>
      <c r="G19" s="22"/>
      <c r="H19" s="22"/>
      <c r="I19" s="16" t="str">
        <f t="shared" si="1"/>
        <v/>
      </c>
      <c r="J19" s="16"/>
      <c r="K19" s="16" t="str">
        <f t="shared" si="2"/>
        <v/>
      </c>
    </row>
    <row r="20" spans="1:11">
      <c r="A20" s="15"/>
      <c r="B20" s="16"/>
      <c r="C20" s="22"/>
      <c r="D20" s="22"/>
      <c r="E20" s="16" t="str">
        <f t="shared" si="0"/>
        <v/>
      </c>
      <c r="F20" s="16"/>
      <c r="G20" s="22"/>
      <c r="H20" s="22"/>
      <c r="I20" s="16" t="str">
        <f t="shared" si="1"/>
        <v/>
      </c>
      <c r="J20" s="16"/>
      <c r="K20" s="16" t="str">
        <f t="shared" si="2"/>
        <v/>
      </c>
    </row>
  </sheetData>
  <conditionalFormatting sqref="A4:D20 F4:H20">
    <cfRule type="containsBlanks" dxfId="66" priority="7">
      <formula>LEN(TRIM(A4))=0</formula>
    </cfRule>
  </conditionalFormatting>
  <dataValidations count="3">
    <dataValidation type="list" allowBlank="1" showInputMessage="1" showErrorMessage="1" sqref="C4:C20 G4:G20" xr:uid="{E4452412-CEE4-49B9-86A5-6A2E80C19711}">
      <formula1>Likelihood</formula1>
    </dataValidation>
    <dataValidation type="list" allowBlank="1" showInputMessage="1" showErrorMessage="1" sqref="D4:D20 H4:H20" xr:uid="{5260CC14-8271-4200-8368-870BE1711DBE}">
      <formula1>Impact</formula1>
    </dataValidation>
    <dataValidation type="list" allowBlank="1" showInputMessage="1" showErrorMessage="1" sqref="J4:J20" xr:uid="{E369FAB5-F639-419E-9963-3996F4D7BB7B}">
      <formula1>ImplementationCost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C7D4-4E79-4272-85B0-36C533ADB339}">
  <sheetPr codeName="Sheet4"/>
  <dimension ref="A1:J7"/>
  <sheetViews>
    <sheetView workbookViewId="0"/>
  </sheetViews>
  <sheetFormatPr defaultRowHeight="14.4"/>
  <cols>
    <col min="1" max="1" width="14.44140625" bestFit="1" customWidth="1"/>
    <col min="2" max="2" width="14.88671875" bestFit="1" customWidth="1"/>
    <col min="3" max="4" width="14.88671875" customWidth="1"/>
    <col min="5" max="6" width="15.88671875" bestFit="1" customWidth="1"/>
    <col min="7" max="7" width="7.44140625" customWidth="1"/>
    <col min="9" max="9" width="14.44140625" bestFit="1" customWidth="1"/>
    <col min="10" max="10" width="5.5546875" bestFit="1" customWidth="1"/>
  </cols>
  <sheetData>
    <row r="1" spans="1:10" s="19" customFormat="1" ht="43.95" customHeight="1">
      <c r="A1" s="19" t="s">
        <v>372</v>
      </c>
      <c r="B1" s="19" t="s">
        <v>373</v>
      </c>
      <c r="C1" s="19" t="s">
        <v>86</v>
      </c>
      <c r="D1" s="19" t="s">
        <v>80</v>
      </c>
      <c r="E1" s="19" t="s">
        <v>82</v>
      </c>
      <c r="F1" s="19" t="s">
        <v>84</v>
      </c>
      <c r="G1" s="19" t="s">
        <v>374</v>
      </c>
      <c r="I1" s="19" t="s">
        <v>375</v>
      </c>
      <c r="J1" s="19" t="s">
        <v>376</v>
      </c>
    </row>
    <row r="2" spans="1:10">
      <c r="A2" t="s">
        <v>377</v>
      </c>
      <c r="B2" t="s">
        <v>378</v>
      </c>
      <c r="C2" t="s">
        <v>379</v>
      </c>
      <c r="D2" t="s">
        <v>380</v>
      </c>
      <c r="E2" t="s">
        <v>381</v>
      </c>
      <c r="F2" t="s">
        <v>382</v>
      </c>
      <c r="G2">
        <v>1</v>
      </c>
      <c r="I2" t="s">
        <v>372</v>
      </c>
      <c r="J2">
        <f>HLOOKUP(ConfidentialityImpactRating,Impact_Risk_Column,2,FALSE)</f>
        <v>4</v>
      </c>
    </row>
    <row r="3" spans="1:10">
      <c r="A3" t="s">
        <v>380</v>
      </c>
      <c r="B3" t="s">
        <v>50</v>
      </c>
      <c r="C3" t="s">
        <v>379</v>
      </c>
      <c r="D3" t="s">
        <v>380</v>
      </c>
      <c r="E3" t="s">
        <v>381</v>
      </c>
      <c r="F3" t="s">
        <v>382</v>
      </c>
      <c r="G3">
        <v>2</v>
      </c>
      <c r="I3" t="s">
        <v>383</v>
      </c>
      <c r="J3">
        <f>HLOOKUP(IntegrityImpactRating,Impact_Risk_Column,2,FALSE)</f>
        <v>2</v>
      </c>
    </row>
    <row r="4" spans="1:10">
      <c r="A4" t="s">
        <v>384</v>
      </c>
      <c r="B4" t="s">
        <v>53</v>
      </c>
      <c r="C4" t="s">
        <v>385</v>
      </c>
      <c r="D4" t="s">
        <v>384</v>
      </c>
      <c r="E4" t="s">
        <v>386</v>
      </c>
      <c r="F4" t="s">
        <v>387</v>
      </c>
      <c r="G4">
        <v>3</v>
      </c>
      <c r="I4" t="s">
        <v>125</v>
      </c>
      <c r="J4">
        <f>HLOOKUP(AvailabilityImpactRating,Impact_Risk_Column,2,FALSE)</f>
        <v>3</v>
      </c>
    </row>
    <row r="5" spans="1:10">
      <c r="A5" t="s">
        <v>42</v>
      </c>
      <c r="B5" t="s">
        <v>388</v>
      </c>
      <c r="C5" t="s">
        <v>389</v>
      </c>
      <c r="D5" t="s">
        <v>42</v>
      </c>
      <c r="E5" t="s">
        <v>390</v>
      </c>
      <c r="F5" t="s">
        <v>391</v>
      </c>
      <c r="G5">
        <v>4</v>
      </c>
      <c r="I5" t="s">
        <v>392</v>
      </c>
      <c r="J5">
        <f>MAX(J2:J4)</f>
        <v>4</v>
      </c>
    </row>
    <row r="6" spans="1:10">
      <c r="A6" t="s">
        <v>393</v>
      </c>
      <c r="B6" t="s">
        <v>394</v>
      </c>
      <c r="C6" t="s">
        <v>395</v>
      </c>
      <c r="D6" t="s">
        <v>393</v>
      </c>
      <c r="E6" t="s">
        <v>396</v>
      </c>
      <c r="F6" t="s">
        <v>397</v>
      </c>
      <c r="G6">
        <v>5</v>
      </c>
      <c r="I6" t="s">
        <v>398</v>
      </c>
      <c r="J6">
        <f>MAX(J2:J3)</f>
        <v>4</v>
      </c>
    </row>
    <row r="7" spans="1:10">
      <c r="I7" t="s">
        <v>399</v>
      </c>
      <c r="J7">
        <v>3</v>
      </c>
    </row>
  </sheetData>
  <phoneticPr fontId="32" type="noConversion"/>
  <dataValidations disablePrompts="1" count="2">
    <dataValidation type="list" allowBlank="1" showInputMessage="1" showErrorMessage="1" sqref="B2:B9" xr:uid="{9C568CB3-7A50-413C-924E-6AEFB2B553E3}">
      <formula1>ImpactRating</formula1>
    </dataValidation>
    <dataValidation type="list" allowBlank="1" showInputMessage="1" showErrorMessage="1" sqref="A4:D78 E7:F78" xr:uid="{ECFEDA6E-6901-4E7E-A56C-4728BE8EAB50}">
      <formula1>"OFFICIAL,SENSITIVE,PROTECTED"</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07B2-581C-41A5-A778-4543D25EE91E}">
  <dimension ref="A1:F6"/>
  <sheetViews>
    <sheetView workbookViewId="0"/>
  </sheetViews>
  <sheetFormatPr defaultRowHeight="14.4"/>
  <cols>
    <col min="1" max="1" width="41.44140625" customWidth="1"/>
    <col min="2" max="2" width="86.33203125" customWidth="1"/>
    <col min="3" max="3" width="12.33203125" bestFit="1" customWidth="1"/>
    <col min="4" max="4" width="18" customWidth="1"/>
    <col min="5" max="5" width="18.6640625" customWidth="1"/>
    <col min="6" max="6" width="12.5546875" customWidth="1"/>
    <col min="8" max="8" width="17.44140625" bestFit="1" customWidth="1"/>
    <col min="9" max="9" width="39.6640625" customWidth="1"/>
  </cols>
  <sheetData>
    <row r="1" spans="1:6" ht="15.6">
      <c r="A1" s="71" t="s">
        <v>400</v>
      </c>
      <c r="B1" s="21"/>
    </row>
    <row r="2" spans="1:6" ht="15.6">
      <c r="A2" s="71" t="s">
        <v>401</v>
      </c>
      <c r="B2" s="21"/>
    </row>
    <row r="3" spans="1:6" ht="15.6">
      <c r="A3" s="71" t="s">
        <v>402</v>
      </c>
      <c r="B3" s="21"/>
    </row>
    <row r="5" spans="1:6" ht="15.6">
      <c r="A5" s="72" t="s">
        <v>403</v>
      </c>
      <c r="B5" s="72" t="s">
        <v>404</v>
      </c>
      <c r="C5" s="72" t="s">
        <v>405</v>
      </c>
      <c r="D5" s="72" t="s">
        <v>406</v>
      </c>
      <c r="E5" s="72" t="s">
        <v>407</v>
      </c>
      <c r="F5" s="72" t="s">
        <v>408</v>
      </c>
    </row>
    <row r="6" spans="1:6" ht="15.6">
      <c r="A6" s="76"/>
    </row>
  </sheetData>
  <conditionalFormatting sqref="B1:B3">
    <cfRule type="containsBlanks" dxfId="65" priority="1">
      <formula>LEN(TRIM(B1))=0</formula>
    </cfRule>
  </conditionalFormatting>
  <dataValidations count="1">
    <dataValidation type="list" allowBlank="1" showInputMessage="1" showErrorMessage="1" sqref="E6:E1048576" xr:uid="{F5C100BA-73F0-451C-8112-829FEFAE8CF5}">
      <formula1>Status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CA166-8646-4ACD-9166-E860D7CC9D02}">
  <sheetPr codeName="Sheet7"/>
  <dimension ref="A1:G45"/>
  <sheetViews>
    <sheetView showGridLines="0" zoomScale="120" zoomScaleNormal="120" workbookViewId="0"/>
  </sheetViews>
  <sheetFormatPr defaultRowHeight="14.4"/>
  <cols>
    <col min="1" max="1" width="38.33203125" customWidth="1"/>
    <col min="2" max="2" width="15.6640625" customWidth="1"/>
    <col min="3" max="3" width="17.44140625" customWidth="1"/>
    <col min="4" max="4" width="18.5546875" customWidth="1"/>
    <col min="5" max="6" width="21.33203125" customWidth="1"/>
  </cols>
  <sheetData>
    <row r="1" spans="1:7" ht="34.799999999999997">
      <c r="A1" s="48" t="s">
        <v>409</v>
      </c>
      <c r="B1" s="49"/>
      <c r="C1" s="49"/>
      <c r="D1" s="49"/>
      <c r="E1" s="49"/>
      <c r="F1" s="49"/>
    </row>
    <row r="2" spans="1:7" ht="29.4">
      <c r="A2" s="50" t="s">
        <v>410</v>
      </c>
      <c r="B2" s="51" t="s">
        <v>411</v>
      </c>
      <c r="C2" s="51" t="s">
        <v>412</v>
      </c>
      <c r="D2" s="51" t="s">
        <v>413</v>
      </c>
      <c r="E2" s="52" t="s">
        <v>414</v>
      </c>
      <c r="F2" s="53" t="s">
        <v>415</v>
      </c>
    </row>
    <row r="3" spans="1:7" ht="51">
      <c r="A3" s="54" t="s">
        <v>416</v>
      </c>
      <c r="B3" s="55" t="s">
        <v>417</v>
      </c>
      <c r="C3" s="56" t="s">
        <v>418</v>
      </c>
      <c r="D3" s="57" t="s">
        <v>419</v>
      </c>
      <c r="E3" s="57" t="s">
        <v>420</v>
      </c>
      <c r="F3" s="57" t="s">
        <v>421</v>
      </c>
    </row>
    <row r="4" spans="1:7" ht="163.19999999999999">
      <c r="A4" s="58" t="s">
        <v>422</v>
      </c>
      <c r="B4" s="57" t="s">
        <v>423</v>
      </c>
      <c r="C4" s="57" t="s">
        <v>424</v>
      </c>
      <c r="D4" s="57" t="s">
        <v>425</v>
      </c>
      <c r="E4" s="57" t="s">
        <v>426</v>
      </c>
      <c r="F4" s="57" t="s">
        <v>427</v>
      </c>
      <c r="G4" s="21"/>
    </row>
    <row r="5" spans="1:7" ht="153">
      <c r="A5" s="54" t="s">
        <v>428</v>
      </c>
      <c r="B5" s="57" t="s">
        <v>429</v>
      </c>
      <c r="C5" s="57" t="s">
        <v>430</v>
      </c>
      <c r="D5" s="57" t="s">
        <v>431</v>
      </c>
      <c r="E5" s="57" t="s">
        <v>432</v>
      </c>
      <c r="F5" s="57" t="s">
        <v>433</v>
      </c>
    </row>
    <row r="6" spans="1:7" ht="132.6">
      <c r="A6" s="54" t="s">
        <v>434</v>
      </c>
      <c r="B6" s="57" t="s">
        <v>435</v>
      </c>
      <c r="C6" s="57" t="s">
        <v>436</v>
      </c>
      <c r="D6" s="57" t="s">
        <v>437</v>
      </c>
      <c r="E6" s="57" t="s">
        <v>438</v>
      </c>
      <c r="F6" s="57" t="s">
        <v>439</v>
      </c>
    </row>
    <row r="7" spans="1:7" ht="71.400000000000006">
      <c r="A7" s="54" t="s">
        <v>440</v>
      </c>
      <c r="B7" s="57" t="s">
        <v>441</v>
      </c>
      <c r="C7" s="57" t="s">
        <v>442</v>
      </c>
      <c r="D7" s="57" t="s">
        <v>443</v>
      </c>
      <c r="E7" s="57" t="s">
        <v>444</v>
      </c>
      <c r="F7" s="57" t="s">
        <v>445</v>
      </c>
    </row>
    <row r="8" spans="1:7" ht="71.400000000000006">
      <c r="A8" s="54" t="s">
        <v>446</v>
      </c>
      <c r="B8" s="57" t="s">
        <v>447</v>
      </c>
      <c r="C8" s="57" t="s">
        <v>448</v>
      </c>
      <c r="D8" s="57" t="s">
        <v>449</v>
      </c>
      <c r="E8" s="57" t="s">
        <v>450</v>
      </c>
      <c r="F8" s="57" t="s">
        <v>451</v>
      </c>
    </row>
    <row r="9" spans="1:7" ht="193.8">
      <c r="A9" s="54" t="s">
        <v>452</v>
      </c>
      <c r="B9" s="57" t="s">
        <v>453</v>
      </c>
      <c r="C9" s="57" t="s">
        <v>454</v>
      </c>
      <c r="D9" s="57" t="s">
        <v>455</v>
      </c>
      <c r="E9" s="57" t="s">
        <v>456</v>
      </c>
      <c r="F9" s="57" t="s">
        <v>457</v>
      </c>
    </row>
    <row r="11" spans="1:7">
      <c r="A11" s="59" t="s">
        <v>458</v>
      </c>
    </row>
    <row r="13" spans="1:7" ht="15.75" customHeight="1" thickBot="1"/>
    <row r="14" spans="1:7" ht="15" thickBot="1">
      <c r="A14" s="23" t="s">
        <v>459</v>
      </c>
      <c r="B14" s="24" t="s">
        <v>460</v>
      </c>
      <c r="C14" s="24" t="s">
        <v>461</v>
      </c>
      <c r="D14" s="25" t="s">
        <v>462</v>
      </c>
      <c r="E14" s="25" t="s">
        <v>463</v>
      </c>
    </row>
    <row r="15" spans="1:7" ht="21" thickBot="1">
      <c r="A15" s="26">
        <v>5</v>
      </c>
      <c r="B15" s="27" t="s">
        <v>464</v>
      </c>
      <c r="C15" s="28" t="s">
        <v>465</v>
      </c>
      <c r="D15" s="29" t="s">
        <v>466</v>
      </c>
      <c r="E15" s="28" t="str">
        <f>CONCATENATE(B15, " (",A15,")")</f>
        <v>Very High (5)</v>
      </c>
    </row>
    <row r="16" spans="1:7" ht="21" thickBot="1">
      <c r="A16" s="26">
        <v>4</v>
      </c>
      <c r="B16" s="27" t="s">
        <v>25</v>
      </c>
      <c r="C16" s="28" t="s">
        <v>467</v>
      </c>
      <c r="D16" s="29" t="s">
        <v>468</v>
      </c>
      <c r="E16" s="28" t="str">
        <f>CONCATENATE(B16, " (",A16,")")</f>
        <v>High (4)</v>
      </c>
    </row>
    <row r="17" spans="1:7" ht="15" thickBot="1">
      <c r="A17" s="26">
        <v>3</v>
      </c>
      <c r="B17" s="27" t="s">
        <v>23</v>
      </c>
      <c r="C17" s="28" t="s">
        <v>469</v>
      </c>
      <c r="D17" s="29" t="s">
        <v>470</v>
      </c>
      <c r="E17" s="28" t="str">
        <f>CONCATENATE(B17, " (",A17,")")</f>
        <v>Medium (3)</v>
      </c>
    </row>
    <row r="18" spans="1:7" ht="15" thickBot="1">
      <c r="A18" s="26">
        <v>2</v>
      </c>
      <c r="B18" s="27" t="s">
        <v>21</v>
      </c>
      <c r="C18" s="28" t="s">
        <v>471</v>
      </c>
      <c r="D18" s="29" t="s">
        <v>472</v>
      </c>
      <c r="E18" s="28" t="str">
        <f>CONCATENATE(B18, " (",A18,")")</f>
        <v>Low (2)</v>
      </c>
    </row>
    <row r="19" spans="1:7" ht="21" thickBot="1">
      <c r="A19" s="26">
        <v>1</v>
      </c>
      <c r="B19" s="27" t="s">
        <v>473</v>
      </c>
      <c r="C19" s="28" t="s">
        <v>474</v>
      </c>
      <c r="D19" s="29" t="s">
        <v>475</v>
      </c>
      <c r="E19" s="28" t="str">
        <f>CONCATENATE(B19, " (",A19,")")</f>
        <v>Very Low (1)</v>
      </c>
    </row>
    <row r="21" spans="1:7">
      <c r="A21" s="59" t="s">
        <v>476</v>
      </c>
    </row>
    <row r="22" spans="1:7" ht="15" thickBot="1"/>
    <row r="23" spans="1:7" ht="15" thickBot="1">
      <c r="A23" s="30" t="s">
        <v>477</v>
      </c>
      <c r="B23" s="31" t="s">
        <v>378</v>
      </c>
      <c r="C23" s="31" t="s">
        <v>50</v>
      </c>
      <c r="D23" s="31" t="s">
        <v>53</v>
      </c>
      <c r="E23" s="31" t="s">
        <v>388</v>
      </c>
      <c r="F23" s="31" t="s">
        <v>394</v>
      </c>
    </row>
    <row r="24" spans="1:7" ht="15" thickBot="1">
      <c r="A24" s="30" t="s">
        <v>349</v>
      </c>
      <c r="B24" s="32">
        <v>1</v>
      </c>
      <c r="C24" s="32">
        <v>2</v>
      </c>
      <c r="D24" s="32">
        <v>3</v>
      </c>
      <c r="E24" s="32">
        <v>4</v>
      </c>
      <c r="F24" s="32">
        <v>5</v>
      </c>
    </row>
    <row r="25" spans="1:7" ht="15" thickBot="1">
      <c r="A25" s="33" t="s">
        <v>478</v>
      </c>
      <c r="B25" s="34" t="s">
        <v>23</v>
      </c>
      <c r="C25" s="34" t="s">
        <v>23</v>
      </c>
      <c r="D25" s="35" t="s">
        <v>25</v>
      </c>
      <c r="E25" s="36" t="s">
        <v>479</v>
      </c>
      <c r="F25" s="36" t="s">
        <v>479</v>
      </c>
      <c r="G25" s="33">
        <v>5</v>
      </c>
    </row>
    <row r="26" spans="1:7" ht="15" thickBot="1">
      <c r="A26" s="33" t="s">
        <v>480</v>
      </c>
      <c r="B26" s="37" t="s">
        <v>21</v>
      </c>
      <c r="C26" s="38" t="s">
        <v>23</v>
      </c>
      <c r="D26" s="39" t="s">
        <v>25</v>
      </c>
      <c r="E26" s="39" t="s">
        <v>25</v>
      </c>
      <c r="F26" s="40" t="s">
        <v>479</v>
      </c>
      <c r="G26" s="33">
        <v>4</v>
      </c>
    </row>
    <row r="27" spans="1:7" ht="15" thickBot="1">
      <c r="A27" s="33" t="s">
        <v>481</v>
      </c>
      <c r="B27" s="37" t="s">
        <v>21</v>
      </c>
      <c r="C27" s="37" t="s">
        <v>21</v>
      </c>
      <c r="D27" s="38" t="s">
        <v>23</v>
      </c>
      <c r="E27" s="39" t="s">
        <v>25</v>
      </c>
      <c r="F27" s="40" t="s">
        <v>479</v>
      </c>
      <c r="G27" s="33">
        <v>3</v>
      </c>
    </row>
    <row r="28" spans="1:7" ht="15" thickBot="1">
      <c r="A28" s="33" t="s">
        <v>482</v>
      </c>
      <c r="B28" s="37" t="s">
        <v>21</v>
      </c>
      <c r="C28" s="37" t="s">
        <v>21</v>
      </c>
      <c r="D28" s="38" t="s">
        <v>23</v>
      </c>
      <c r="E28" s="38" t="s">
        <v>23</v>
      </c>
      <c r="F28" s="39" t="s">
        <v>25</v>
      </c>
      <c r="G28" s="33">
        <v>2</v>
      </c>
    </row>
    <row r="29" spans="1:7" ht="15" thickBot="1">
      <c r="A29" s="33" t="s">
        <v>483</v>
      </c>
      <c r="B29" s="37" t="s">
        <v>21</v>
      </c>
      <c r="C29" s="37" t="s">
        <v>21</v>
      </c>
      <c r="D29" s="37" t="s">
        <v>21</v>
      </c>
      <c r="E29" s="38" t="s">
        <v>23</v>
      </c>
      <c r="F29" s="39" t="s">
        <v>25</v>
      </c>
      <c r="G29" s="33">
        <v>1</v>
      </c>
    </row>
    <row r="30" spans="1:7" ht="15" thickBot="1"/>
    <row r="31" spans="1:7" ht="15" thickBot="1">
      <c r="A31" s="30" t="s">
        <v>477</v>
      </c>
      <c r="B31" s="31" t="s">
        <v>378</v>
      </c>
      <c r="C31" s="31" t="s">
        <v>50</v>
      </c>
      <c r="D31" s="31" t="s">
        <v>53</v>
      </c>
      <c r="E31" s="31" t="s">
        <v>388</v>
      </c>
      <c r="F31" s="31" t="s">
        <v>394</v>
      </c>
    </row>
    <row r="32" spans="1:7" ht="15" thickBot="1">
      <c r="A32" s="30" t="s">
        <v>349</v>
      </c>
      <c r="B32" s="32">
        <v>1</v>
      </c>
      <c r="C32" s="32">
        <v>2</v>
      </c>
      <c r="D32" s="32">
        <v>3</v>
      </c>
      <c r="E32" s="32">
        <v>4</v>
      </c>
      <c r="F32" s="32">
        <v>5</v>
      </c>
    </row>
    <row r="33" spans="1:7" ht="15" thickBot="1">
      <c r="A33" s="33" t="s">
        <v>478</v>
      </c>
      <c r="B33" s="34">
        <v>5</v>
      </c>
      <c r="C33" s="34">
        <v>7</v>
      </c>
      <c r="D33" s="35">
        <v>11</v>
      </c>
      <c r="E33" s="36">
        <v>14</v>
      </c>
      <c r="F33" s="36">
        <v>17</v>
      </c>
      <c r="G33" s="33">
        <v>5</v>
      </c>
    </row>
    <row r="34" spans="1:7" ht="15" thickBot="1">
      <c r="A34" s="33" t="s">
        <v>480</v>
      </c>
      <c r="B34" s="37">
        <v>3</v>
      </c>
      <c r="C34" s="38">
        <v>6</v>
      </c>
      <c r="D34" s="39">
        <v>10</v>
      </c>
      <c r="E34" s="39">
        <v>13</v>
      </c>
      <c r="F34" s="40">
        <v>16</v>
      </c>
      <c r="G34" s="33">
        <v>4</v>
      </c>
    </row>
    <row r="35" spans="1:7" ht="15" thickBot="1">
      <c r="A35" s="33" t="s">
        <v>481</v>
      </c>
      <c r="B35" s="37">
        <v>2</v>
      </c>
      <c r="C35" s="37">
        <v>4</v>
      </c>
      <c r="D35" s="38">
        <v>8</v>
      </c>
      <c r="E35" s="39">
        <v>12</v>
      </c>
      <c r="F35" s="40">
        <v>15</v>
      </c>
      <c r="G35" s="33">
        <v>3</v>
      </c>
    </row>
    <row r="36" spans="1:7" ht="15" thickBot="1">
      <c r="A36" s="33" t="s">
        <v>482</v>
      </c>
      <c r="B36" s="37">
        <v>1</v>
      </c>
      <c r="C36" s="37">
        <v>3</v>
      </c>
      <c r="D36" s="38">
        <v>7</v>
      </c>
      <c r="E36" s="38">
        <v>9</v>
      </c>
      <c r="F36" s="39">
        <v>13</v>
      </c>
      <c r="G36" s="33">
        <v>2</v>
      </c>
    </row>
    <row r="37" spans="1:7" ht="15" thickBot="1">
      <c r="A37" s="33" t="s">
        <v>483</v>
      </c>
      <c r="B37" s="37">
        <v>0</v>
      </c>
      <c r="C37" s="37">
        <v>1</v>
      </c>
      <c r="D37" s="37">
        <v>3</v>
      </c>
      <c r="E37" s="38">
        <v>6</v>
      </c>
      <c r="F37" s="39">
        <v>10</v>
      </c>
      <c r="G37" s="33">
        <v>1</v>
      </c>
    </row>
    <row r="40" spans="1:7" ht="32.25" customHeight="1">
      <c r="A40" s="134" t="s">
        <v>484</v>
      </c>
      <c r="B40" s="144" t="s">
        <v>347</v>
      </c>
      <c r="C40" s="145"/>
      <c r="D40" s="146" t="s">
        <v>485</v>
      </c>
      <c r="E40" s="147"/>
    </row>
    <row r="41" spans="1:7" ht="40.5" customHeight="1">
      <c r="A41" s="135" t="s">
        <v>377</v>
      </c>
      <c r="B41" s="142" t="s">
        <v>486</v>
      </c>
      <c r="C41" s="143"/>
      <c r="D41" s="142" t="s">
        <v>487</v>
      </c>
      <c r="E41" s="143"/>
    </row>
    <row r="42" spans="1:7" ht="89.25" customHeight="1">
      <c r="A42" s="135" t="s">
        <v>488</v>
      </c>
      <c r="B42" s="142" t="s">
        <v>489</v>
      </c>
      <c r="C42" s="143"/>
      <c r="D42" s="142" t="s">
        <v>490</v>
      </c>
      <c r="E42" s="143"/>
    </row>
    <row r="43" spans="1:7" ht="105" customHeight="1">
      <c r="A43" s="135" t="s">
        <v>491</v>
      </c>
      <c r="B43" s="142" t="s">
        <v>492</v>
      </c>
      <c r="C43" s="143"/>
      <c r="D43" s="142" t="s">
        <v>493</v>
      </c>
      <c r="E43" s="143"/>
    </row>
    <row r="44" spans="1:7" ht="121.5" customHeight="1">
      <c r="A44" s="135" t="s">
        <v>42</v>
      </c>
      <c r="B44" s="142" t="s">
        <v>494</v>
      </c>
      <c r="C44" s="143"/>
      <c r="D44" s="142" t="s">
        <v>495</v>
      </c>
      <c r="E44" s="143"/>
    </row>
    <row r="45" spans="1:7" ht="121.5" customHeight="1">
      <c r="A45" s="135" t="s">
        <v>393</v>
      </c>
      <c r="B45" s="142" t="s">
        <v>496</v>
      </c>
      <c r="C45" s="143"/>
      <c r="D45" s="142" t="s">
        <v>497</v>
      </c>
      <c r="E45" s="143"/>
    </row>
  </sheetData>
  <dataConsolidate/>
  <mergeCells count="12">
    <mergeCell ref="B45:C45"/>
    <mergeCell ref="D45:E45"/>
    <mergeCell ref="B40:C40"/>
    <mergeCell ref="B41:C41"/>
    <mergeCell ref="B42:C42"/>
    <mergeCell ref="D41:E41"/>
    <mergeCell ref="D40:E40"/>
    <mergeCell ref="D42:E42"/>
    <mergeCell ref="B43:C43"/>
    <mergeCell ref="D43:E43"/>
    <mergeCell ref="B44:C44"/>
    <mergeCell ref="D44:E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R87"/>
  <sheetViews>
    <sheetView zoomScaleNormal="100" workbookViewId="0">
      <selection activeCell="L81" sqref="L81"/>
    </sheetView>
  </sheetViews>
  <sheetFormatPr defaultRowHeight="14.4"/>
  <cols>
    <col min="2" max="2" width="76.44140625" style="17" customWidth="1"/>
    <col min="3" max="3" width="16.109375" style="17" customWidth="1"/>
    <col min="4" max="4" width="16" style="17" customWidth="1"/>
    <col min="5" max="5" width="11.33203125" style="17" bestFit="1" customWidth="1"/>
    <col min="6" max="6" width="10.44140625" style="17" customWidth="1"/>
    <col min="7" max="7" width="10.6640625" style="17" bestFit="1" customWidth="1"/>
    <col min="8" max="10" width="10.6640625" style="17" customWidth="1"/>
    <col min="11" max="11" width="13.33203125" style="17" customWidth="1"/>
    <col min="12" max="12" width="9.88671875" style="17" bestFit="1" customWidth="1"/>
    <col min="13" max="13" width="45.33203125" customWidth="1"/>
    <col min="15" max="15" width="12.6640625" bestFit="1" customWidth="1"/>
    <col min="16" max="16" width="13.109375" customWidth="1"/>
    <col min="17" max="17" width="19.5546875" customWidth="1"/>
  </cols>
  <sheetData>
    <row r="1" spans="1:18" s="18" customFormat="1" ht="57.6">
      <c r="A1" s="4" t="s">
        <v>346</v>
      </c>
      <c r="B1" s="4" t="s">
        <v>498</v>
      </c>
      <c r="C1" s="4" t="s">
        <v>348</v>
      </c>
      <c r="D1" s="4" t="s">
        <v>349</v>
      </c>
      <c r="E1" s="4" t="s">
        <v>350</v>
      </c>
      <c r="F1" s="4" t="s">
        <v>351</v>
      </c>
      <c r="G1" s="4" t="s">
        <v>352</v>
      </c>
      <c r="H1" s="4" t="s">
        <v>353</v>
      </c>
      <c r="I1" s="4" t="s">
        <v>354</v>
      </c>
      <c r="J1" s="4" t="s">
        <v>355</v>
      </c>
      <c r="K1" s="4" t="s">
        <v>356</v>
      </c>
      <c r="L1" s="4" t="s">
        <v>357</v>
      </c>
      <c r="M1" s="4" t="s">
        <v>403</v>
      </c>
      <c r="N1" s="4" t="s">
        <v>359</v>
      </c>
      <c r="O1" s="4" t="s">
        <v>499</v>
      </c>
      <c r="P1" s="4" t="s">
        <v>96</v>
      </c>
      <c r="Q1" s="4" t="s">
        <v>97</v>
      </c>
      <c r="R1" s="4" t="s">
        <v>361</v>
      </c>
    </row>
    <row r="2" spans="1:18" ht="28.8">
      <c r="A2" s="120" t="s">
        <v>500</v>
      </c>
      <c r="B2" s="120" t="s">
        <v>501</v>
      </c>
      <c r="C2" s="120" t="s">
        <v>398</v>
      </c>
      <c r="D2" s="120" t="s">
        <v>481</v>
      </c>
      <c r="E2" s="120" t="str" cm="1">
        <f t="array" ref="E2">INDEX(LikelihoodValues,MAX(LEFT(RIGHT('Missing Control Risks'!D2,2),1)-1,1))</f>
        <v>Low (2)</v>
      </c>
      <c r="F2" s="120">
        <v>0</v>
      </c>
      <c r="G2" s="120">
        <f t="shared" ref="G2:G36" si="0">MIN(VLOOKUP(C2,ImpactTypeRatings,2,FALSE)+F2,5)</f>
        <v>4</v>
      </c>
      <c r="H2" s="120" t="b">
        <f t="shared" ref="H2:H75" si="1">VLOOKUP(M2,AssessedControls,5,FALSE)="Partial"</f>
        <v>0</v>
      </c>
      <c r="I2" s="120" t="str">
        <f>LEFT(IF($H2,$E2,$D2),LEN(IF($H2,$E2,$D2))-4)</f>
        <v>Medium</v>
      </c>
      <c r="J2" s="120" t="str">
        <f>LEFT(VLOOKUP("Impact",'Risk Matrix'!$A$23:$F$23,$G2+1,FALSE),LEN(VLOOKUP("Impact",'Risk Matrix'!$A$23:$F$23,$G2+1,FALSE))-4)</f>
        <v>Major</v>
      </c>
      <c r="K2" s="1" t="str">
        <f t="shared" ref="K2:K37" si="2">IF($H2,VLOOKUP($E2,Risk_Rows,$G2+1,FALSE),VLOOKUP($D2,Risk_Rows,$G2+1,FALSE))</f>
        <v>High</v>
      </c>
      <c r="L2" s="121" t="s">
        <v>211</v>
      </c>
      <c r="M2" s="69" t="s">
        <v>208</v>
      </c>
      <c r="N2" s="122" t="b">
        <f t="shared" ref="N2" si="3">OR(VLOOKUP(M2,AssessedControls,5,FALSE)="Yes",NOT(VLOOKUP(M2,AssessedControls,4,FALSE)))</f>
        <v>0</v>
      </c>
      <c r="O2" s="1">
        <f t="shared" ref="O2:O35" si="4">VLOOKUP(CONCATENATE(K2,"-",VLOOKUP(M2,AssessedControls,7,FALSE)),ControlPriority,2,FALSE)</f>
        <v>16</v>
      </c>
      <c r="P2" s="122" t="str">
        <f t="shared" ref="P2:P35" si="5">IF(VLOOKUP($M2,AssessedControls,8,FALSE)=0,"",VLOOKUP($M2,AssessedControls,8,FALSE))</f>
        <v/>
      </c>
      <c r="Q2" s="122" t="str">
        <f t="shared" ref="Q2:Q35" si="6">IF(VLOOKUP($M2,AssessedControls,9,FALSE)=0,"",VLOOKUP($M2,AssessedControls,9,FALSE))</f>
        <v/>
      </c>
      <c r="R2" s="122" t="str">
        <f t="shared" ref="R2:R35" si="7">CONCATENATE(TEXT(O2,"00"),":",A2)</f>
        <v>16:R01</v>
      </c>
    </row>
    <row r="3" spans="1:18">
      <c r="A3" s="120" t="s">
        <v>502</v>
      </c>
      <c r="B3" s="123" t="s">
        <v>503</v>
      </c>
      <c r="C3" s="120" t="s">
        <v>398</v>
      </c>
      <c r="D3" s="123" t="s">
        <v>478</v>
      </c>
      <c r="E3" s="120" t="str" cm="1">
        <f t="array" ref="E3">INDEX(LikelihoodValues,MAX(LEFT(RIGHT('Missing Control Risks'!D3,2),1)-1,1))</f>
        <v>High (4)</v>
      </c>
      <c r="F3" s="123">
        <v>0</v>
      </c>
      <c r="G3" s="120">
        <f t="shared" si="0"/>
        <v>4</v>
      </c>
      <c r="H3" s="120" t="b">
        <f t="shared" si="1"/>
        <v>0</v>
      </c>
      <c r="I3" s="120" t="str">
        <f>LEFT(IF($H3,$E3,$D3),LEN(IF($H3,$E3,$D3))-4)</f>
        <v>Very High</v>
      </c>
      <c r="J3" s="120" t="str">
        <f>LEFT(VLOOKUP("Impact",'Risk Matrix'!$A$23:$F$23,$G3+1,FALSE),LEN(VLOOKUP("Impact",'Risk Matrix'!$A$23:$F$23,$G3+1,FALSE))-4)</f>
        <v>Major</v>
      </c>
      <c r="K3" s="1" t="str">
        <f t="shared" si="2"/>
        <v>Extreme</v>
      </c>
      <c r="L3" s="121" t="s">
        <v>106</v>
      </c>
      <c r="M3" s="4" t="s">
        <v>104</v>
      </c>
      <c r="N3" s="122" t="b">
        <f t="shared" ref="N3:N76" si="8">OR(VLOOKUP(M3,AssessedControls,5,FALSE)="Yes",NOT(VLOOKUP(M3,AssessedControls,4,FALSE)))</f>
        <v>0</v>
      </c>
      <c r="O3" s="1">
        <f t="shared" si="4"/>
        <v>32</v>
      </c>
      <c r="P3" s="122" t="str">
        <f t="shared" si="5"/>
        <v/>
      </c>
      <c r="Q3" s="122" t="str">
        <f t="shared" si="6"/>
        <v/>
      </c>
      <c r="R3" s="122" t="str">
        <f t="shared" si="7"/>
        <v>32:R02</v>
      </c>
    </row>
    <row r="4" spans="1:18" ht="28.8">
      <c r="A4" s="120" t="s">
        <v>502</v>
      </c>
      <c r="B4" s="123" t="s">
        <v>503</v>
      </c>
      <c r="C4" s="120" t="s">
        <v>398</v>
      </c>
      <c r="D4" s="123" t="s">
        <v>481</v>
      </c>
      <c r="E4" s="120" t="str" cm="1">
        <f t="array" ref="E4">INDEX(LikelihoodValues,MAX(LEFT(RIGHT('Missing Control Risks'!D4,2),1)-1,1))</f>
        <v>Low (2)</v>
      </c>
      <c r="F4" s="123">
        <v>0</v>
      </c>
      <c r="G4" s="120">
        <f t="shared" si="0"/>
        <v>4</v>
      </c>
      <c r="H4" s="120" t="b">
        <f t="shared" si="1"/>
        <v>0</v>
      </c>
      <c r="I4" s="120" t="str">
        <f t="shared" ref="I4:I70" si="9">LEFT(IF($H4,$E4,$D4),LEN(IF($H4,$E4,$D4))-4)</f>
        <v>Medium</v>
      </c>
      <c r="J4" s="120" t="str">
        <f>LEFT(VLOOKUP("Impact",'Risk Matrix'!$A$23:$F$23,$G4+1,FALSE),LEN(VLOOKUP("Impact",'Risk Matrix'!$A$23:$F$23,$G4+1,FALSE))-4)</f>
        <v>Major</v>
      </c>
      <c r="K4" s="1" t="str">
        <f t="shared" si="2"/>
        <v>High</v>
      </c>
      <c r="L4" s="121" t="s">
        <v>115</v>
      </c>
      <c r="M4" s="4" t="s">
        <v>113</v>
      </c>
      <c r="N4" s="122" t="b">
        <f t="shared" si="8"/>
        <v>1</v>
      </c>
      <c r="O4" s="1">
        <f t="shared" si="4"/>
        <v>16</v>
      </c>
      <c r="P4" s="122" t="str">
        <f t="shared" si="5"/>
        <v/>
      </c>
      <c r="Q4" s="122" t="str">
        <f t="shared" si="6"/>
        <v/>
      </c>
      <c r="R4" s="122" t="str">
        <f t="shared" si="7"/>
        <v>16:R02</v>
      </c>
    </row>
    <row r="5" spans="1:18" ht="28.8">
      <c r="A5" s="120" t="s">
        <v>502</v>
      </c>
      <c r="B5" s="123" t="s">
        <v>503</v>
      </c>
      <c r="C5" s="120" t="s">
        <v>398</v>
      </c>
      <c r="D5" s="123" t="s">
        <v>481</v>
      </c>
      <c r="E5" s="120" t="str" cm="1">
        <f t="array" ref="E5">INDEX(LikelihoodValues,MAX(LEFT(RIGHT('Missing Control Risks'!D5,2),1)-1,1))</f>
        <v>Low (2)</v>
      </c>
      <c r="F5" s="123">
        <v>0</v>
      </c>
      <c r="G5" s="120">
        <f t="shared" si="0"/>
        <v>4</v>
      </c>
      <c r="H5" s="120" t="b">
        <f t="shared" si="1"/>
        <v>0</v>
      </c>
      <c r="I5" s="120" t="str">
        <f t="shared" si="9"/>
        <v>Medium</v>
      </c>
      <c r="J5" s="120" t="str">
        <f>LEFT(VLOOKUP("Impact",'Risk Matrix'!$A$23:$F$23,$G5+1,FALSE),LEN(VLOOKUP("Impact",'Risk Matrix'!$A$23:$F$23,$G5+1,FALSE))-4)</f>
        <v>Major</v>
      </c>
      <c r="K5" s="1" t="str">
        <f t="shared" si="2"/>
        <v>High</v>
      </c>
      <c r="L5" s="121" t="s">
        <v>118</v>
      </c>
      <c r="M5" s="4" t="s">
        <v>116</v>
      </c>
      <c r="N5" s="122" t="b">
        <f t="shared" si="8"/>
        <v>1</v>
      </c>
      <c r="O5" s="1">
        <f t="shared" si="4"/>
        <v>8</v>
      </c>
      <c r="P5" s="122" t="str">
        <f t="shared" si="5"/>
        <v/>
      </c>
      <c r="Q5" s="122" t="str">
        <f t="shared" si="6"/>
        <v/>
      </c>
      <c r="R5" s="122" t="str">
        <f t="shared" si="7"/>
        <v>08:R02</v>
      </c>
    </row>
    <row r="6" spans="1:18" ht="28.8">
      <c r="A6" s="120" t="s">
        <v>502</v>
      </c>
      <c r="B6" s="123" t="s">
        <v>503</v>
      </c>
      <c r="C6" s="120" t="s">
        <v>398</v>
      </c>
      <c r="D6" s="123" t="s">
        <v>481</v>
      </c>
      <c r="E6" s="120" t="str" cm="1">
        <f t="array" ref="E6">INDEX(LikelihoodValues,MAX(LEFT(RIGHT('Missing Control Risks'!D6,2),1)-1,1))</f>
        <v>Low (2)</v>
      </c>
      <c r="F6" s="123">
        <v>0</v>
      </c>
      <c r="G6" s="120">
        <f t="shared" si="0"/>
        <v>4</v>
      </c>
      <c r="H6" s="120" t="b">
        <f t="shared" si="1"/>
        <v>0</v>
      </c>
      <c r="I6" s="120" t="str">
        <f t="shared" si="9"/>
        <v>Medium</v>
      </c>
      <c r="J6" s="120" t="str">
        <f>LEFT(VLOOKUP("Impact",'Risk Matrix'!$A$23:$F$23,$G6+1,FALSE),LEN(VLOOKUP("Impact",'Risk Matrix'!$A$23:$F$23,$G6+1,FALSE))-4)</f>
        <v>Major</v>
      </c>
      <c r="K6" s="1" t="str">
        <f t="shared" si="2"/>
        <v>High</v>
      </c>
      <c r="L6" s="121" t="s">
        <v>121</v>
      </c>
      <c r="M6" s="4" t="s">
        <v>119</v>
      </c>
      <c r="N6" s="122" t="b">
        <f t="shared" si="8"/>
        <v>0</v>
      </c>
      <c r="O6" s="1">
        <f t="shared" si="4"/>
        <v>4</v>
      </c>
      <c r="P6" s="122" t="str">
        <f t="shared" si="5"/>
        <v/>
      </c>
      <c r="Q6" s="122" t="str">
        <f t="shared" si="6"/>
        <v/>
      </c>
      <c r="R6" s="122" t="str">
        <f t="shared" si="7"/>
        <v>04:R02</v>
      </c>
    </row>
    <row r="7" spans="1:18">
      <c r="A7" s="120" t="s">
        <v>502</v>
      </c>
      <c r="B7" s="123" t="s">
        <v>503</v>
      </c>
      <c r="C7" s="120" t="s">
        <v>398</v>
      </c>
      <c r="D7" s="123" t="s">
        <v>480</v>
      </c>
      <c r="E7" s="120" t="str" cm="1">
        <f t="array" ref="E7">INDEX(LikelihoodValues,MAX(LEFT(RIGHT('Missing Control Risks'!D7,2),1)-1,1))</f>
        <v>Medium (3)</v>
      </c>
      <c r="F7" s="123">
        <v>0</v>
      </c>
      <c r="G7" s="120">
        <f t="shared" si="0"/>
        <v>4</v>
      </c>
      <c r="H7" s="120" t="b">
        <f t="shared" si="1"/>
        <v>0</v>
      </c>
      <c r="I7" s="120" t="str">
        <f t="shared" si="9"/>
        <v>High</v>
      </c>
      <c r="J7" s="120" t="str">
        <f>LEFT(VLOOKUP("Impact",'Risk Matrix'!$A$23:$F$23,$G7+1,FALSE),LEN(VLOOKUP("Impact",'Risk Matrix'!$A$23:$F$23,$G7+1,FALSE))-4)</f>
        <v>Major</v>
      </c>
      <c r="K7" s="1" t="str">
        <f t="shared" si="2"/>
        <v>High</v>
      </c>
      <c r="L7" s="121" t="s">
        <v>124</v>
      </c>
      <c r="M7" s="4" t="s">
        <v>122</v>
      </c>
      <c r="N7" s="122" t="b">
        <f t="shared" si="8"/>
        <v>0</v>
      </c>
      <c r="O7" s="1">
        <f t="shared" si="4"/>
        <v>8</v>
      </c>
      <c r="P7" s="122" t="str">
        <f t="shared" si="5"/>
        <v/>
      </c>
      <c r="Q7" s="122" t="str">
        <f t="shared" si="6"/>
        <v/>
      </c>
      <c r="R7" s="122" t="str">
        <f t="shared" si="7"/>
        <v>08:R02</v>
      </c>
    </row>
    <row r="8" spans="1:18">
      <c r="A8" s="120" t="s">
        <v>502</v>
      </c>
      <c r="B8" s="123" t="s">
        <v>503</v>
      </c>
      <c r="C8" s="120" t="s">
        <v>398</v>
      </c>
      <c r="D8" s="123" t="s">
        <v>480</v>
      </c>
      <c r="E8" s="120" t="str" cm="1">
        <f t="array" ref="E8">INDEX(LikelihoodValues,MAX(LEFT(RIGHT('Missing Control Risks'!D8,2),1)-1,1))</f>
        <v>Medium (3)</v>
      </c>
      <c r="F8" s="123">
        <v>0</v>
      </c>
      <c r="G8" s="120">
        <f t="shared" si="0"/>
        <v>4</v>
      </c>
      <c r="H8" s="120" t="b">
        <f t="shared" si="1"/>
        <v>0</v>
      </c>
      <c r="I8" s="120" t="str">
        <f t="shared" si="9"/>
        <v>High</v>
      </c>
      <c r="J8" s="120" t="str">
        <f>LEFT(VLOOKUP("Impact",'Risk Matrix'!$A$23:$F$23,$G8+1,FALSE),LEN(VLOOKUP("Impact",'Risk Matrix'!$A$23:$F$23,$G8+1,FALSE))-4)</f>
        <v>Major</v>
      </c>
      <c r="K8" s="1" t="str">
        <f t="shared" si="2"/>
        <v>High</v>
      </c>
      <c r="L8" s="121" t="s">
        <v>339</v>
      </c>
      <c r="M8" s="4" t="s">
        <v>337</v>
      </c>
      <c r="N8" s="122" t="b">
        <f t="shared" si="8"/>
        <v>1</v>
      </c>
      <c r="O8" s="1">
        <f t="shared" si="4"/>
        <v>8</v>
      </c>
      <c r="P8" s="122" t="str">
        <f t="shared" si="5"/>
        <v/>
      </c>
      <c r="Q8" s="122" t="str">
        <f t="shared" si="6"/>
        <v/>
      </c>
      <c r="R8" s="122" t="str">
        <f t="shared" si="7"/>
        <v>08:R02</v>
      </c>
    </row>
    <row r="9" spans="1:18">
      <c r="A9" s="120" t="s">
        <v>502</v>
      </c>
      <c r="B9" s="123" t="s">
        <v>503</v>
      </c>
      <c r="C9" s="120" t="s">
        <v>398</v>
      </c>
      <c r="D9" s="123" t="s">
        <v>480</v>
      </c>
      <c r="E9" s="120" t="str" cm="1">
        <f t="array" ref="E9">INDEX(LikelihoodValues,MAX(LEFT(RIGHT('Missing Control Risks'!D9,2),1)-1,1))</f>
        <v>Medium (3)</v>
      </c>
      <c r="F9" s="123">
        <v>0</v>
      </c>
      <c r="G9" s="120">
        <f t="shared" si="0"/>
        <v>4</v>
      </c>
      <c r="H9" s="120" t="b">
        <f t="shared" si="1"/>
        <v>0</v>
      </c>
      <c r="I9" s="120" t="str">
        <f t="shared" si="9"/>
        <v>High</v>
      </c>
      <c r="J9" s="120" t="str">
        <f>LEFT(VLOOKUP("Impact",'Risk Matrix'!$A$23:$F$23,$G9+1,FALSE),LEN(VLOOKUP("Impact",'Risk Matrix'!$A$23:$F$23,$G9+1,FALSE))-4)</f>
        <v>Major</v>
      </c>
      <c r="K9" s="1" t="str">
        <f t="shared" si="2"/>
        <v>High</v>
      </c>
      <c r="L9" s="121" t="s">
        <v>342</v>
      </c>
      <c r="M9" s="4" t="s">
        <v>340</v>
      </c>
      <c r="N9" s="122" t="b">
        <f t="shared" si="8"/>
        <v>1</v>
      </c>
      <c r="O9" s="1">
        <f t="shared" si="4"/>
        <v>4</v>
      </c>
      <c r="P9" s="122" t="str">
        <f t="shared" si="5"/>
        <v/>
      </c>
      <c r="Q9" s="122" t="str">
        <f t="shared" si="6"/>
        <v/>
      </c>
      <c r="R9" s="122" t="str">
        <f t="shared" si="7"/>
        <v>04:R02</v>
      </c>
    </row>
    <row r="10" spans="1:18" ht="28.8">
      <c r="A10" s="120" t="s">
        <v>502</v>
      </c>
      <c r="B10" s="123" t="s">
        <v>503</v>
      </c>
      <c r="C10" s="120" t="s">
        <v>398</v>
      </c>
      <c r="D10" s="123" t="s">
        <v>480</v>
      </c>
      <c r="E10" s="120" t="str" cm="1">
        <f t="array" ref="E10">INDEX(LikelihoodValues,MAX(LEFT(RIGHT('Missing Control Risks'!D10,2),1)-1,1))</f>
        <v>Medium (3)</v>
      </c>
      <c r="F10" s="123">
        <v>0</v>
      </c>
      <c r="G10" s="120">
        <f t="shared" ref="G10" si="10">MIN(VLOOKUP(C10,ImpactTypeRatings,2,FALSE)+F10,5)</f>
        <v>4</v>
      </c>
      <c r="H10" s="120" t="b">
        <f t="shared" ref="H10" si="11">VLOOKUP(M10,AssessedControls,5,FALSE)="Partial"</f>
        <v>0</v>
      </c>
      <c r="I10" s="120" t="str">
        <f t="shared" si="9"/>
        <v>High</v>
      </c>
      <c r="J10" s="120" t="str">
        <f>LEFT(VLOOKUP("Impact",'Risk Matrix'!$A$23:$F$23,$G10+1,FALSE),LEN(VLOOKUP("Impact",'Risk Matrix'!$A$23:$F$23,$G10+1,FALSE))-4)</f>
        <v>Major</v>
      </c>
      <c r="K10" s="1" t="str">
        <f t="shared" si="2"/>
        <v>High</v>
      </c>
      <c r="L10" s="121" t="s">
        <v>345</v>
      </c>
      <c r="M10" s="4" t="s">
        <v>343</v>
      </c>
      <c r="N10" s="122" t="b">
        <f t="shared" ref="N10" si="12">OR(VLOOKUP(M10,AssessedControls,5,FALSE)="Yes",NOT(VLOOKUP(M10,AssessedControls,4,FALSE)))</f>
        <v>1</v>
      </c>
      <c r="O10" s="1">
        <f t="shared" ref="O10" si="13">VLOOKUP(CONCATENATE(K10,"-",VLOOKUP(M10,AssessedControls,7,FALSE)),ControlPriority,2,FALSE)</f>
        <v>4</v>
      </c>
      <c r="P10" s="122" t="str">
        <f t="shared" si="5"/>
        <v/>
      </c>
      <c r="Q10" s="122" t="str">
        <f t="shared" si="6"/>
        <v/>
      </c>
      <c r="R10" s="122" t="str">
        <f t="shared" ref="R10" si="14">CONCATENATE(TEXT(O10,"00"),":",A10)</f>
        <v>04:R02</v>
      </c>
    </row>
    <row r="11" spans="1:18">
      <c r="A11" s="120" t="s">
        <v>504</v>
      </c>
      <c r="B11" s="123" t="s">
        <v>505</v>
      </c>
      <c r="C11" s="120" t="s">
        <v>398</v>
      </c>
      <c r="D11" s="123" t="s">
        <v>480</v>
      </c>
      <c r="E11" s="120" t="str" cm="1">
        <f t="array" ref="E11">INDEX(LikelihoodValues,MAX(LEFT(RIGHT('Missing Control Risks'!D11,2),1)-1,1))</f>
        <v>Medium (3)</v>
      </c>
      <c r="F11" s="123">
        <v>0</v>
      </c>
      <c r="G11" s="120">
        <f t="shared" si="0"/>
        <v>4</v>
      </c>
      <c r="H11" s="120" t="b">
        <f t="shared" si="1"/>
        <v>0</v>
      </c>
      <c r="I11" s="120" t="str">
        <f t="shared" si="9"/>
        <v>High</v>
      </c>
      <c r="J11" s="120" t="str">
        <f>LEFT(VLOOKUP("Impact",'Risk Matrix'!$A$23:$F$23,$G11+1,FALSE),LEN(VLOOKUP("Impact",'Risk Matrix'!$A$23:$F$23,$G11+1,FALSE))-4)</f>
        <v>Major</v>
      </c>
      <c r="K11" s="1" t="str">
        <f t="shared" si="2"/>
        <v>High</v>
      </c>
      <c r="L11" s="121" t="s">
        <v>103</v>
      </c>
      <c r="M11" s="4" t="s">
        <v>100</v>
      </c>
      <c r="N11" s="122" t="b">
        <f t="shared" si="8"/>
        <v>0</v>
      </c>
      <c r="O11" s="1">
        <f t="shared" si="4"/>
        <v>16</v>
      </c>
      <c r="P11" s="122" t="str">
        <f t="shared" si="5"/>
        <v/>
      </c>
      <c r="Q11" s="122" t="str">
        <f t="shared" si="6"/>
        <v/>
      </c>
      <c r="R11" s="122" t="str">
        <f t="shared" si="7"/>
        <v>16:R03</v>
      </c>
    </row>
    <row r="12" spans="1:18">
      <c r="A12" s="120" t="s">
        <v>504</v>
      </c>
      <c r="B12" s="123" t="s">
        <v>505</v>
      </c>
      <c r="C12" s="120" t="s">
        <v>398</v>
      </c>
      <c r="D12" s="123" t="s">
        <v>480</v>
      </c>
      <c r="E12" s="120" t="str" cm="1">
        <f t="array" ref="E12">INDEX(LikelihoodValues,MAX(LEFT(RIGHT('Missing Control Risks'!D12,2),1)-1,1))</f>
        <v>Medium (3)</v>
      </c>
      <c r="F12" s="123">
        <v>0</v>
      </c>
      <c r="G12" s="120">
        <f t="shared" ref="G12" si="15">MIN(VLOOKUP(C12,ImpactTypeRatings,2,FALSE)+F12,5)</f>
        <v>4</v>
      </c>
      <c r="H12" s="120" t="b">
        <f t="shared" ref="H12" si="16">VLOOKUP(M12,AssessedControls,5,FALSE)="Partial"</f>
        <v>0</v>
      </c>
      <c r="I12" s="120" t="str">
        <f t="shared" si="9"/>
        <v>High</v>
      </c>
      <c r="J12" s="120" t="str">
        <f>LEFT(VLOOKUP("Impact",'Risk Matrix'!$A$23:$F$23,$G12+1,FALSE),LEN(VLOOKUP("Impact",'Risk Matrix'!$A$23:$F$23,$G12+1,FALSE))-4)</f>
        <v>Major</v>
      </c>
      <c r="K12" s="1" t="str">
        <f t="shared" si="2"/>
        <v>High</v>
      </c>
      <c r="L12" s="121" t="s">
        <v>109</v>
      </c>
      <c r="M12" s="4" t="s">
        <v>107</v>
      </c>
      <c r="N12" s="122" t="b">
        <f t="shared" ref="N12" si="17">OR(VLOOKUP(M12,AssessedControls,5,FALSE)="Yes",NOT(VLOOKUP(M12,AssessedControls,4,FALSE)))</f>
        <v>0</v>
      </c>
      <c r="O12" s="1">
        <f t="shared" ref="O12" si="18">VLOOKUP(CONCATENATE(K12,"-",VLOOKUP(M12,AssessedControls,7,FALSE)),ControlPriority,2,FALSE)</f>
        <v>16</v>
      </c>
      <c r="P12" s="122" t="str">
        <f t="shared" si="5"/>
        <v/>
      </c>
      <c r="Q12" s="122" t="str">
        <f t="shared" si="6"/>
        <v/>
      </c>
      <c r="R12" s="122" t="str">
        <f t="shared" ref="R12" si="19">CONCATENATE(TEXT(O12,"00"),":",A12)</f>
        <v>16:R03</v>
      </c>
    </row>
    <row r="13" spans="1:18" ht="28.8">
      <c r="A13" s="120" t="s">
        <v>504</v>
      </c>
      <c r="B13" s="123" t="s">
        <v>505</v>
      </c>
      <c r="C13" s="120" t="s">
        <v>398</v>
      </c>
      <c r="D13" s="123" t="s">
        <v>481</v>
      </c>
      <c r="E13" s="120" t="str" cm="1">
        <f t="array" ref="E13">INDEX(LikelihoodValues,MAX(LEFT(RIGHT('Missing Control Risks'!D13,2),1)-1,1))</f>
        <v>Low (2)</v>
      </c>
      <c r="F13" s="123">
        <v>0</v>
      </c>
      <c r="G13" s="120">
        <f t="shared" si="0"/>
        <v>4</v>
      </c>
      <c r="H13" s="120" t="b">
        <f t="shared" si="1"/>
        <v>0</v>
      </c>
      <c r="I13" s="120" t="str">
        <f t="shared" si="9"/>
        <v>Medium</v>
      </c>
      <c r="J13" s="120" t="str">
        <f>LEFT(VLOOKUP("Impact",'Risk Matrix'!$A$23:$F$23,$G13+1,FALSE),LEN(VLOOKUP("Impact",'Risk Matrix'!$A$23:$F$23,$G13+1,FALSE))-4)</f>
        <v>Major</v>
      </c>
      <c r="K13" s="1" t="str">
        <f t="shared" si="2"/>
        <v>High</v>
      </c>
      <c r="L13" s="121" t="s">
        <v>115</v>
      </c>
      <c r="M13" s="4" t="s">
        <v>113</v>
      </c>
      <c r="N13" s="122" t="b">
        <f t="shared" si="8"/>
        <v>1</v>
      </c>
      <c r="O13" s="1">
        <f t="shared" si="4"/>
        <v>16</v>
      </c>
      <c r="P13" s="122" t="str">
        <f t="shared" si="5"/>
        <v/>
      </c>
      <c r="Q13" s="122" t="str">
        <f t="shared" si="6"/>
        <v/>
      </c>
      <c r="R13" s="122" t="str">
        <f t="shared" si="7"/>
        <v>16:R03</v>
      </c>
    </row>
    <row r="14" spans="1:18" ht="28.8">
      <c r="A14" s="120" t="s">
        <v>504</v>
      </c>
      <c r="B14" s="123" t="s">
        <v>505</v>
      </c>
      <c r="C14" s="120" t="s">
        <v>398</v>
      </c>
      <c r="D14" s="123" t="s">
        <v>481</v>
      </c>
      <c r="E14" s="120" t="str" cm="1">
        <f t="array" ref="E14">INDEX(LikelihoodValues,MAX(LEFT(RIGHT('Missing Control Risks'!D14,2),1)-1,1))</f>
        <v>Low (2)</v>
      </c>
      <c r="F14" s="123">
        <v>0</v>
      </c>
      <c r="G14" s="120">
        <f t="shared" si="0"/>
        <v>4</v>
      </c>
      <c r="H14" s="120" t="b">
        <f t="shared" si="1"/>
        <v>0</v>
      </c>
      <c r="I14" s="120" t="str">
        <f t="shared" si="9"/>
        <v>Medium</v>
      </c>
      <c r="J14" s="120" t="str">
        <f>LEFT(VLOOKUP("Impact",'Risk Matrix'!$A$23:$F$23,$G14+1,FALSE),LEN(VLOOKUP("Impact",'Risk Matrix'!$A$23:$F$23,$G14+1,FALSE))-4)</f>
        <v>Major</v>
      </c>
      <c r="K14" s="1" t="str">
        <f t="shared" si="2"/>
        <v>High</v>
      </c>
      <c r="L14" s="121" t="s">
        <v>118</v>
      </c>
      <c r="M14" s="4" t="s">
        <v>116</v>
      </c>
      <c r="N14" s="122" t="b">
        <f t="shared" si="8"/>
        <v>1</v>
      </c>
      <c r="O14" s="1">
        <f t="shared" si="4"/>
        <v>8</v>
      </c>
      <c r="P14" s="122" t="str">
        <f t="shared" si="5"/>
        <v/>
      </c>
      <c r="Q14" s="122" t="str">
        <f t="shared" si="6"/>
        <v/>
      </c>
      <c r="R14" s="122" t="str">
        <f t="shared" si="7"/>
        <v>08:R03</v>
      </c>
    </row>
    <row r="15" spans="1:18" ht="28.8">
      <c r="A15" s="120" t="s">
        <v>504</v>
      </c>
      <c r="B15" s="123" t="s">
        <v>505</v>
      </c>
      <c r="C15" s="120" t="s">
        <v>398</v>
      </c>
      <c r="D15" s="123" t="s">
        <v>481</v>
      </c>
      <c r="E15" s="120" t="str" cm="1">
        <f t="array" ref="E15">INDEX(LikelihoodValues,MAX(LEFT(RIGHT('Missing Control Risks'!D15,2),1)-1,1))</f>
        <v>Low (2)</v>
      </c>
      <c r="F15" s="123">
        <v>0</v>
      </c>
      <c r="G15" s="120">
        <f t="shared" si="0"/>
        <v>4</v>
      </c>
      <c r="H15" s="120" t="b">
        <f t="shared" si="1"/>
        <v>0</v>
      </c>
      <c r="I15" s="120" t="str">
        <f t="shared" si="9"/>
        <v>Medium</v>
      </c>
      <c r="J15" s="120" t="str">
        <f>LEFT(VLOOKUP("Impact",'Risk Matrix'!$A$23:$F$23,$G15+1,FALSE),LEN(VLOOKUP("Impact",'Risk Matrix'!$A$23:$F$23,$G15+1,FALSE))-4)</f>
        <v>Major</v>
      </c>
      <c r="K15" s="1" t="str">
        <f t="shared" si="2"/>
        <v>High</v>
      </c>
      <c r="L15" s="121" t="s">
        <v>121</v>
      </c>
      <c r="M15" s="4" t="s">
        <v>119</v>
      </c>
      <c r="N15" s="122" t="b">
        <f t="shared" si="8"/>
        <v>0</v>
      </c>
      <c r="O15" s="1">
        <f t="shared" si="4"/>
        <v>4</v>
      </c>
      <c r="P15" s="122" t="str">
        <f t="shared" si="5"/>
        <v/>
      </c>
      <c r="Q15" s="122" t="str">
        <f t="shared" si="6"/>
        <v/>
      </c>
      <c r="R15" s="122" t="str">
        <f t="shared" si="7"/>
        <v>04:R03</v>
      </c>
    </row>
    <row r="16" spans="1:18">
      <c r="A16" s="120" t="s">
        <v>506</v>
      </c>
      <c r="B16" s="123" t="s">
        <v>507</v>
      </c>
      <c r="C16" s="120" t="s">
        <v>398</v>
      </c>
      <c r="D16" s="123" t="s">
        <v>483</v>
      </c>
      <c r="E16" s="120" t="str" cm="1">
        <f t="array" ref="E16">INDEX(LikelihoodValues,MAX(LEFT(RIGHT('Missing Control Risks'!D16,2),1)-1,1))</f>
        <v>Very Low (1)</v>
      </c>
      <c r="F16" s="123">
        <v>1</v>
      </c>
      <c r="G16" s="120">
        <f t="shared" si="0"/>
        <v>5</v>
      </c>
      <c r="H16" s="120" t="b">
        <f t="shared" si="1"/>
        <v>0</v>
      </c>
      <c r="I16" s="120" t="str">
        <f t="shared" si="9"/>
        <v>Very Low</v>
      </c>
      <c r="J16" s="120" t="str">
        <f>LEFT(VLOOKUP("Impact",'Risk Matrix'!$A$23:$F$23,$G16+1,FALSE),LEN(VLOOKUP("Impact",'Risk Matrix'!$A$23:$F$23,$G16+1,FALSE))-4)</f>
        <v>Critical</v>
      </c>
      <c r="K16" s="1" t="str">
        <f t="shared" si="2"/>
        <v>High</v>
      </c>
      <c r="L16" s="121" t="s">
        <v>197</v>
      </c>
      <c r="M16" s="8" t="s">
        <v>195</v>
      </c>
      <c r="N16" s="122" t="b">
        <f t="shared" si="8"/>
        <v>0</v>
      </c>
      <c r="O16" s="1">
        <f t="shared" si="4"/>
        <v>16</v>
      </c>
      <c r="P16" s="122" t="str">
        <f t="shared" si="5"/>
        <v/>
      </c>
      <c r="Q16" s="122" t="str">
        <f t="shared" si="6"/>
        <v/>
      </c>
      <c r="R16" s="122" t="str">
        <f t="shared" si="7"/>
        <v>16:R04</v>
      </c>
    </row>
    <row r="17" spans="1:18">
      <c r="A17" s="120" t="s">
        <v>506</v>
      </c>
      <c r="B17" s="123" t="s">
        <v>507</v>
      </c>
      <c r="C17" s="120" t="s">
        <v>398</v>
      </c>
      <c r="D17" s="123" t="s">
        <v>483</v>
      </c>
      <c r="E17" s="120" t="str" cm="1">
        <f t="array" ref="E17">INDEX(LikelihoodValues,MAX(LEFT(RIGHT('Missing Control Risks'!D17,2),1)-1,1))</f>
        <v>Very Low (1)</v>
      </c>
      <c r="F17" s="123">
        <v>1</v>
      </c>
      <c r="G17" s="120">
        <f t="shared" si="0"/>
        <v>5</v>
      </c>
      <c r="H17" s="120" t="b">
        <f t="shared" si="1"/>
        <v>0</v>
      </c>
      <c r="I17" s="120" t="str">
        <f t="shared" si="9"/>
        <v>Very Low</v>
      </c>
      <c r="J17" s="120" t="str">
        <f>LEFT(VLOOKUP("Impact",'Risk Matrix'!$A$23:$F$23,$G17+1,FALSE),LEN(VLOOKUP("Impact",'Risk Matrix'!$A$23:$F$23,$G17+1,FALSE))-4)</f>
        <v>Critical</v>
      </c>
      <c r="K17" s="1" t="str">
        <f t="shared" si="2"/>
        <v>High</v>
      </c>
      <c r="L17" s="121" t="s">
        <v>200</v>
      </c>
      <c r="M17" s="8" t="s">
        <v>198</v>
      </c>
      <c r="N17" s="122" t="b">
        <f t="shared" si="8"/>
        <v>1</v>
      </c>
      <c r="O17" s="1">
        <f t="shared" si="4"/>
        <v>4</v>
      </c>
      <c r="P17" s="122" t="str">
        <f t="shared" si="5"/>
        <v/>
      </c>
      <c r="Q17" s="122" t="str">
        <f t="shared" si="6"/>
        <v/>
      </c>
      <c r="R17" s="122" t="str">
        <f t="shared" si="7"/>
        <v>04:R04</v>
      </c>
    </row>
    <row r="18" spans="1:18">
      <c r="A18" s="120" t="s">
        <v>506</v>
      </c>
      <c r="B18" s="123" t="s">
        <v>507</v>
      </c>
      <c r="C18" s="120" t="s">
        <v>398</v>
      </c>
      <c r="D18" s="123" t="s">
        <v>483</v>
      </c>
      <c r="E18" s="120" t="str" cm="1">
        <f t="array" ref="E18">INDEX(LikelihoodValues,MAX(LEFT(RIGHT('Missing Control Risks'!D18,2),1)-1,1))</f>
        <v>Very Low (1)</v>
      </c>
      <c r="F18" s="123">
        <v>1</v>
      </c>
      <c r="G18" s="120">
        <f t="shared" ref="G18" si="20">MIN(VLOOKUP(C18,ImpactTypeRatings,2,FALSE)+F18,5)</f>
        <v>5</v>
      </c>
      <c r="H18" s="120" t="b">
        <f t="shared" ref="H18" si="21">VLOOKUP(M18,AssessedControls,5,FALSE)="Partial"</f>
        <v>0</v>
      </c>
      <c r="I18" s="120" t="str">
        <f t="shared" si="9"/>
        <v>Very Low</v>
      </c>
      <c r="J18" s="120" t="str">
        <f>LEFT(VLOOKUP("Impact",'Risk Matrix'!$A$23:$F$23,$G18+1,FALSE),LEN(VLOOKUP("Impact",'Risk Matrix'!$A$23:$F$23,$G18+1,FALSE))-4)</f>
        <v>Critical</v>
      </c>
      <c r="K18" s="1" t="str">
        <f t="shared" si="2"/>
        <v>High</v>
      </c>
      <c r="L18" s="121" t="s">
        <v>203</v>
      </c>
      <c r="M18" s="8" t="s">
        <v>201</v>
      </c>
      <c r="N18" s="122" t="b">
        <f t="shared" ref="N18" si="22">OR(VLOOKUP(M18,AssessedControls,5,FALSE)="Yes",NOT(VLOOKUP(M18,AssessedControls,4,FALSE)))</f>
        <v>0</v>
      </c>
      <c r="O18" s="1">
        <f t="shared" si="4"/>
        <v>4</v>
      </c>
      <c r="P18" s="122" t="str">
        <f t="shared" si="5"/>
        <v/>
      </c>
      <c r="Q18" s="122" t="str">
        <f t="shared" si="6"/>
        <v/>
      </c>
      <c r="R18" s="122" t="str">
        <f t="shared" si="7"/>
        <v>04:R04</v>
      </c>
    </row>
    <row r="19" spans="1:18">
      <c r="A19" s="120" t="s">
        <v>506</v>
      </c>
      <c r="B19" s="123" t="s">
        <v>507</v>
      </c>
      <c r="C19" s="120" t="s">
        <v>398</v>
      </c>
      <c r="D19" s="123" t="s">
        <v>483</v>
      </c>
      <c r="E19" s="120" t="str" cm="1">
        <f t="array" ref="E19">INDEX(LikelihoodValues,MAX(LEFT(RIGHT('Missing Control Risks'!D19,2),1)-1,1))</f>
        <v>Very Low (1)</v>
      </c>
      <c r="F19" s="123">
        <v>1</v>
      </c>
      <c r="G19" s="120">
        <f t="shared" ref="G19" si="23">MIN(VLOOKUP(C19,ImpactTypeRatings,2,FALSE)+F19,5)</f>
        <v>5</v>
      </c>
      <c r="H19" s="120" t="b">
        <f t="shared" ref="H19" si="24">VLOOKUP(M19,AssessedControls,5,FALSE)="Partial"</f>
        <v>0</v>
      </c>
      <c r="I19" s="120" t="str">
        <f t="shared" si="9"/>
        <v>Very Low</v>
      </c>
      <c r="J19" s="120" t="str">
        <f>LEFT(VLOOKUP("Impact",'Risk Matrix'!$A$23:$F$23,$G19+1,FALSE),LEN(VLOOKUP("Impact",'Risk Matrix'!$A$23:$F$23,$G19+1,FALSE))-4)</f>
        <v>Critical</v>
      </c>
      <c r="K19" s="1" t="str">
        <f t="shared" si="2"/>
        <v>High</v>
      </c>
      <c r="L19" s="121" t="s">
        <v>206</v>
      </c>
      <c r="M19" s="8" t="s">
        <v>204</v>
      </c>
      <c r="N19" s="122" t="b">
        <f t="shared" ref="N19" si="25">OR(VLOOKUP(M19,AssessedControls,5,FALSE)="Yes",NOT(VLOOKUP(M19,AssessedControls,4,FALSE)))</f>
        <v>1</v>
      </c>
      <c r="O19" s="1">
        <f t="shared" si="4"/>
        <v>4</v>
      </c>
      <c r="P19" s="122" t="str">
        <f t="shared" si="5"/>
        <v/>
      </c>
      <c r="Q19" s="122" t="str">
        <f t="shared" si="6"/>
        <v/>
      </c>
      <c r="R19" s="122" t="str">
        <f t="shared" si="7"/>
        <v>04:R04</v>
      </c>
    </row>
    <row r="20" spans="1:18" ht="28.8">
      <c r="A20" s="120" t="s">
        <v>508</v>
      </c>
      <c r="B20" s="123" t="s">
        <v>509</v>
      </c>
      <c r="C20" s="120" t="s">
        <v>398</v>
      </c>
      <c r="D20" s="123" t="s">
        <v>483</v>
      </c>
      <c r="E20" s="120" t="str" cm="1">
        <f t="array" ref="E20">INDEX(LikelihoodValues,MAX(LEFT(RIGHT('Missing Control Risks'!D20,2),1)-1,1))</f>
        <v>Very Low (1)</v>
      </c>
      <c r="F20" s="123">
        <v>1</v>
      </c>
      <c r="G20" s="120">
        <f t="shared" si="0"/>
        <v>5</v>
      </c>
      <c r="H20" s="120" t="b">
        <f t="shared" si="1"/>
        <v>0</v>
      </c>
      <c r="I20" s="120" t="str">
        <f t="shared" si="9"/>
        <v>Very Low</v>
      </c>
      <c r="J20" s="120" t="str">
        <f>LEFT(VLOOKUP("Impact",'Risk Matrix'!$A$23:$F$23,$G20+1,FALSE),LEN(VLOOKUP("Impact",'Risk Matrix'!$A$23:$F$23,$G20+1,FALSE))-4)</f>
        <v>Critical</v>
      </c>
      <c r="K20" s="1" t="str">
        <f t="shared" si="2"/>
        <v>High</v>
      </c>
      <c r="L20" s="121" t="s">
        <v>197</v>
      </c>
      <c r="M20" s="8" t="s">
        <v>195</v>
      </c>
      <c r="N20" s="122" t="b">
        <f t="shared" si="8"/>
        <v>0</v>
      </c>
      <c r="O20" s="1">
        <f t="shared" si="4"/>
        <v>16</v>
      </c>
      <c r="P20" s="122" t="str">
        <f t="shared" si="5"/>
        <v/>
      </c>
      <c r="Q20" s="122" t="str">
        <f t="shared" si="6"/>
        <v/>
      </c>
      <c r="R20" s="122" t="str">
        <f t="shared" si="7"/>
        <v>16:R05</v>
      </c>
    </row>
    <row r="21" spans="1:18" ht="28.8">
      <c r="A21" s="120" t="s">
        <v>510</v>
      </c>
      <c r="B21" s="123" t="s">
        <v>511</v>
      </c>
      <c r="C21" s="120" t="s">
        <v>372</v>
      </c>
      <c r="D21" s="123" t="s">
        <v>483</v>
      </c>
      <c r="E21" s="120" t="str" cm="1">
        <f t="array" ref="E21">INDEX(LikelihoodValues,MAX(LEFT(RIGHT('Missing Control Risks'!D21,2),1)-1,1))</f>
        <v>Very Low (1)</v>
      </c>
      <c r="F21" s="123">
        <v>1</v>
      </c>
      <c r="G21" s="120">
        <f t="shared" si="0"/>
        <v>5</v>
      </c>
      <c r="H21" s="120" t="b">
        <f t="shared" si="1"/>
        <v>0</v>
      </c>
      <c r="I21" s="120" t="str">
        <f t="shared" si="9"/>
        <v>Very Low</v>
      </c>
      <c r="J21" s="120" t="str">
        <f>LEFT(VLOOKUP("Impact",'Risk Matrix'!$A$23:$F$23,$G21+1,FALSE),LEN(VLOOKUP("Impact",'Risk Matrix'!$A$23:$F$23,$G21+1,FALSE))-4)</f>
        <v>Critical</v>
      </c>
      <c r="K21" s="1" t="str">
        <f t="shared" si="2"/>
        <v>High</v>
      </c>
      <c r="L21" s="121" t="s">
        <v>187</v>
      </c>
      <c r="M21" s="4" t="s">
        <v>185</v>
      </c>
      <c r="N21" s="122" t="b">
        <f t="shared" si="8"/>
        <v>1</v>
      </c>
      <c r="O21" s="1">
        <f t="shared" si="4"/>
        <v>16</v>
      </c>
      <c r="P21" s="122" t="str">
        <f t="shared" si="5"/>
        <v/>
      </c>
      <c r="Q21" s="122" t="str">
        <f t="shared" si="6"/>
        <v/>
      </c>
      <c r="R21" s="122" t="str">
        <f t="shared" si="7"/>
        <v>16:R06</v>
      </c>
    </row>
    <row r="22" spans="1:18" ht="28.8">
      <c r="A22" s="120" t="s">
        <v>510</v>
      </c>
      <c r="B22" s="123" t="s">
        <v>511</v>
      </c>
      <c r="C22" s="120" t="s">
        <v>372</v>
      </c>
      <c r="D22" s="123" t="s">
        <v>483</v>
      </c>
      <c r="E22" s="120" t="str" cm="1">
        <f t="array" ref="E22">INDEX(LikelihoodValues,MAX(LEFT(RIGHT('Missing Control Risks'!D22,2),1)-1,1))</f>
        <v>Very Low (1)</v>
      </c>
      <c r="F22" s="123">
        <v>1</v>
      </c>
      <c r="G22" s="120">
        <f t="shared" si="0"/>
        <v>5</v>
      </c>
      <c r="H22" s="120" t="b">
        <f t="shared" ref="H22" si="26">VLOOKUP(M22,AssessedControls,5,FALSE)="Partial"</f>
        <v>0</v>
      </c>
      <c r="I22" s="120" t="str">
        <f t="shared" si="9"/>
        <v>Very Low</v>
      </c>
      <c r="J22" s="120" t="str">
        <f>LEFT(VLOOKUP("Impact",'Risk Matrix'!$A$23:$F$23,$G22+1,FALSE),LEN(VLOOKUP("Impact",'Risk Matrix'!$A$23:$F$23,$G22+1,FALSE))-4)</f>
        <v>Critical</v>
      </c>
      <c r="K22" s="1" t="str">
        <f t="shared" si="2"/>
        <v>High</v>
      </c>
      <c r="L22" s="121" t="s">
        <v>184</v>
      </c>
      <c r="M22" s="4" t="s">
        <v>182</v>
      </c>
      <c r="N22" s="122" t="b">
        <f t="shared" ref="N22" si="27">OR(VLOOKUP(M22,AssessedControls,5,FALSE)="Yes",NOT(VLOOKUP(M22,AssessedControls,4,FALSE)))</f>
        <v>0</v>
      </c>
      <c r="O22" s="1">
        <f t="shared" si="4"/>
        <v>8</v>
      </c>
      <c r="P22" s="122" t="str">
        <f t="shared" si="5"/>
        <v/>
      </c>
      <c r="Q22" s="122" t="str">
        <f t="shared" si="6"/>
        <v/>
      </c>
      <c r="R22" s="122" t="str">
        <f t="shared" si="7"/>
        <v>08:R06</v>
      </c>
    </row>
    <row r="23" spans="1:18">
      <c r="A23" s="120" t="s">
        <v>512</v>
      </c>
      <c r="B23" s="123" t="s">
        <v>513</v>
      </c>
      <c r="C23" s="120" t="s">
        <v>383</v>
      </c>
      <c r="D23" s="123" t="s">
        <v>481</v>
      </c>
      <c r="E23" s="120" t="str" cm="1">
        <f t="array" ref="E23">INDEX(LikelihoodValues,MAX(LEFT(RIGHT('Missing Control Risks'!D23,2),1)-1,1))</f>
        <v>Low (2)</v>
      </c>
      <c r="F23" s="123">
        <v>0</v>
      </c>
      <c r="G23" s="120">
        <f t="shared" si="0"/>
        <v>2</v>
      </c>
      <c r="H23" s="120" t="b">
        <f t="shared" si="1"/>
        <v>0</v>
      </c>
      <c r="I23" s="120" t="str">
        <f t="shared" si="9"/>
        <v>Medium</v>
      </c>
      <c r="J23" s="120" t="str">
        <f>LEFT(VLOOKUP("Impact",'Risk Matrix'!$A$23:$F$23,$G23+1,FALSE),LEN(VLOOKUP("Impact",'Risk Matrix'!$A$23:$F$23,$G23+1,FALSE))-4)</f>
        <v>Minor</v>
      </c>
      <c r="K23" s="1" t="str">
        <f t="shared" si="2"/>
        <v>Low</v>
      </c>
      <c r="L23" s="121" t="s">
        <v>217</v>
      </c>
      <c r="M23" s="6" t="s">
        <v>215</v>
      </c>
      <c r="N23" s="122" t="b">
        <f t="shared" si="8"/>
        <v>1</v>
      </c>
      <c r="O23" s="1">
        <f t="shared" si="4"/>
        <v>2</v>
      </c>
      <c r="P23" s="122" t="str">
        <f t="shared" si="5"/>
        <v/>
      </c>
      <c r="Q23" s="122" t="str">
        <f t="shared" si="6"/>
        <v/>
      </c>
      <c r="R23" s="122" t="str">
        <f t="shared" si="7"/>
        <v>02:R07</v>
      </c>
    </row>
    <row r="24" spans="1:18">
      <c r="A24" s="120" t="s">
        <v>514</v>
      </c>
      <c r="B24" s="123" t="s">
        <v>515</v>
      </c>
      <c r="C24" s="120" t="s">
        <v>383</v>
      </c>
      <c r="D24" s="123" t="s">
        <v>482</v>
      </c>
      <c r="E24" s="120" t="str" cm="1">
        <f t="array" ref="E24">INDEX(LikelihoodValues,MAX(LEFT(RIGHT('Missing Control Risks'!D24,2),1)-1,1))</f>
        <v>Very Low (1)</v>
      </c>
      <c r="F24" s="123">
        <v>0</v>
      </c>
      <c r="G24" s="120">
        <f t="shared" si="0"/>
        <v>2</v>
      </c>
      <c r="H24" s="120" t="b">
        <f t="shared" si="1"/>
        <v>0</v>
      </c>
      <c r="I24" s="120" t="str">
        <f t="shared" si="9"/>
        <v>Low</v>
      </c>
      <c r="J24" s="120" t="str">
        <f>LEFT(VLOOKUP("Impact",'Risk Matrix'!$A$23:$F$23,$G24+1,FALSE),LEN(VLOOKUP("Impact",'Risk Matrix'!$A$23:$F$23,$G24+1,FALSE))-4)</f>
        <v>Minor</v>
      </c>
      <c r="K24" s="1" t="str">
        <f t="shared" si="2"/>
        <v>Low</v>
      </c>
      <c r="L24" s="121" t="s">
        <v>112</v>
      </c>
      <c r="M24" s="4" t="s">
        <v>110</v>
      </c>
      <c r="N24" s="122" t="b">
        <f t="shared" si="8"/>
        <v>1</v>
      </c>
      <c r="O24" s="1">
        <f t="shared" si="4"/>
        <v>1</v>
      </c>
      <c r="P24" s="122" t="str">
        <f t="shared" si="5"/>
        <v/>
      </c>
      <c r="Q24" s="122" t="str">
        <f t="shared" si="6"/>
        <v/>
      </c>
      <c r="R24" s="122" t="str">
        <f t="shared" si="7"/>
        <v>01:R08</v>
      </c>
    </row>
    <row r="25" spans="1:18">
      <c r="A25" s="120" t="s">
        <v>516</v>
      </c>
      <c r="B25" s="123" t="s">
        <v>517</v>
      </c>
      <c r="C25" s="120" t="s">
        <v>398</v>
      </c>
      <c r="D25" s="123" t="s">
        <v>481</v>
      </c>
      <c r="E25" s="120" t="str" cm="1">
        <f t="array" ref="E25">INDEX(LikelihoodValues,MAX(LEFT(RIGHT('Missing Control Risks'!D25,2),1)-1,1))</f>
        <v>Low (2)</v>
      </c>
      <c r="F25" s="123">
        <v>0</v>
      </c>
      <c r="G25" s="120">
        <f t="shared" si="0"/>
        <v>4</v>
      </c>
      <c r="H25" s="120" t="b">
        <f t="shared" si="1"/>
        <v>0</v>
      </c>
      <c r="I25" s="120" t="str">
        <f t="shared" si="9"/>
        <v>Medium</v>
      </c>
      <c r="J25" s="120" t="str">
        <f>LEFT(VLOOKUP("Impact",'Risk Matrix'!$A$23:$F$23,$G25+1,FALSE),LEN(VLOOKUP("Impact",'Risk Matrix'!$A$23:$F$23,$G25+1,FALSE))-4)</f>
        <v>Major</v>
      </c>
      <c r="K25" s="1" t="str">
        <f t="shared" si="2"/>
        <v>High</v>
      </c>
      <c r="L25" s="121" t="s">
        <v>221</v>
      </c>
      <c r="M25" s="4" t="s">
        <v>218</v>
      </c>
      <c r="N25" s="122" t="b">
        <f t="shared" si="8"/>
        <v>1</v>
      </c>
      <c r="O25" s="1">
        <f t="shared" si="4"/>
        <v>4</v>
      </c>
      <c r="P25" s="122" t="str">
        <f t="shared" si="5"/>
        <v/>
      </c>
      <c r="Q25" s="122" t="str">
        <f t="shared" si="6"/>
        <v/>
      </c>
      <c r="R25" s="122" t="str">
        <f t="shared" si="7"/>
        <v>04:R09</v>
      </c>
    </row>
    <row r="26" spans="1:18">
      <c r="A26" s="120" t="s">
        <v>516</v>
      </c>
      <c r="B26" s="123" t="s">
        <v>517</v>
      </c>
      <c r="C26" s="120" t="s">
        <v>398</v>
      </c>
      <c r="D26" s="123" t="s">
        <v>482</v>
      </c>
      <c r="E26" s="120" t="str" cm="1">
        <f t="array" ref="E26">INDEX(LikelihoodValues,MAX(LEFT(RIGHT('Missing Control Risks'!D26,2),1)-1,1))</f>
        <v>Very Low (1)</v>
      </c>
      <c r="F26" s="123">
        <v>0</v>
      </c>
      <c r="G26" s="120">
        <f t="shared" si="0"/>
        <v>4</v>
      </c>
      <c r="H26" s="120" t="b">
        <f t="shared" si="1"/>
        <v>0</v>
      </c>
      <c r="I26" s="120" t="str">
        <f t="shared" si="9"/>
        <v>Low</v>
      </c>
      <c r="J26" s="120" t="str">
        <f>LEFT(VLOOKUP("Impact",'Risk Matrix'!$A$23:$F$23,$G26+1,FALSE),LEN(VLOOKUP("Impact",'Risk Matrix'!$A$23:$F$23,$G26+1,FALSE))-4)</f>
        <v>Major</v>
      </c>
      <c r="K26" s="1" t="str">
        <f t="shared" si="2"/>
        <v>Medium</v>
      </c>
      <c r="L26" s="121" t="s">
        <v>277</v>
      </c>
      <c r="M26" s="4" t="s">
        <v>275</v>
      </c>
      <c r="N26" s="122" t="b">
        <f t="shared" si="8"/>
        <v>1</v>
      </c>
      <c r="O26" s="1">
        <f t="shared" si="4"/>
        <v>8</v>
      </c>
      <c r="P26" s="122" t="str">
        <f t="shared" si="5"/>
        <v/>
      </c>
      <c r="Q26" s="122" t="str">
        <f t="shared" si="6"/>
        <v/>
      </c>
      <c r="R26" s="122" t="str">
        <f t="shared" si="7"/>
        <v>08:R09</v>
      </c>
    </row>
    <row r="27" spans="1:18">
      <c r="A27" s="120" t="s">
        <v>518</v>
      </c>
      <c r="B27" s="123" t="s">
        <v>519</v>
      </c>
      <c r="C27" s="120" t="s">
        <v>399</v>
      </c>
      <c r="D27" s="123" t="s">
        <v>480</v>
      </c>
      <c r="E27" s="120" t="str" cm="1">
        <f t="array" ref="E27">INDEX(LikelihoodValues,MAX(LEFT(RIGHT('Missing Control Risks'!D27,2),1)-1,1))</f>
        <v>Medium (3)</v>
      </c>
      <c r="F27" s="123">
        <v>0</v>
      </c>
      <c r="G27" s="120">
        <f t="shared" si="0"/>
        <v>3</v>
      </c>
      <c r="H27" s="120" t="b">
        <f t="shared" si="1"/>
        <v>0</v>
      </c>
      <c r="I27" s="120" t="str">
        <f t="shared" si="9"/>
        <v>High</v>
      </c>
      <c r="J27" s="120" t="str">
        <f>LEFT(VLOOKUP("Impact",'Risk Matrix'!$A$23:$F$23,$G27+1,FALSE),LEN(VLOOKUP("Impact",'Risk Matrix'!$A$23:$F$23,$G27+1,FALSE))-4)</f>
        <v>Moderate</v>
      </c>
      <c r="K27" s="1" t="str">
        <f t="shared" si="2"/>
        <v>High</v>
      </c>
      <c r="L27" s="121" t="s">
        <v>221</v>
      </c>
      <c r="M27" s="4" t="s">
        <v>218</v>
      </c>
      <c r="N27" s="122" t="b">
        <f t="shared" si="8"/>
        <v>1</v>
      </c>
      <c r="O27" s="1">
        <f t="shared" si="4"/>
        <v>4</v>
      </c>
      <c r="P27" s="122" t="str">
        <f t="shared" si="5"/>
        <v/>
      </c>
      <c r="Q27" s="122" t="str">
        <f t="shared" si="6"/>
        <v/>
      </c>
      <c r="R27" s="122" t="str">
        <f t="shared" si="7"/>
        <v>04:R10</v>
      </c>
    </row>
    <row r="28" spans="1:18">
      <c r="A28" s="120" t="s">
        <v>518</v>
      </c>
      <c r="B28" s="123" t="s">
        <v>519</v>
      </c>
      <c r="C28" s="120" t="s">
        <v>399</v>
      </c>
      <c r="D28" s="123" t="s">
        <v>482</v>
      </c>
      <c r="E28" s="120" t="str" cm="1">
        <f t="array" ref="E28">INDEX(LikelihoodValues,MAX(LEFT(RIGHT('Missing Control Risks'!D28,2),1)-1,1))</f>
        <v>Very Low (1)</v>
      </c>
      <c r="F28" s="123">
        <v>0</v>
      </c>
      <c r="G28" s="120">
        <f t="shared" si="0"/>
        <v>3</v>
      </c>
      <c r="H28" s="120" t="b">
        <f t="shared" si="1"/>
        <v>0</v>
      </c>
      <c r="I28" s="120" t="str">
        <f t="shared" si="9"/>
        <v>Low</v>
      </c>
      <c r="J28" s="120" t="str">
        <f>LEFT(VLOOKUP("Impact",'Risk Matrix'!$A$23:$F$23,$G28+1,FALSE),LEN(VLOOKUP("Impact",'Risk Matrix'!$A$23:$F$23,$G28+1,FALSE))-4)</f>
        <v>Moderate</v>
      </c>
      <c r="K28" s="1" t="str">
        <f t="shared" si="2"/>
        <v>Medium</v>
      </c>
      <c r="L28" s="121" t="s">
        <v>277</v>
      </c>
      <c r="M28" s="4" t="s">
        <v>275</v>
      </c>
      <c r="N28" s="122" t="b">
        <f t="shared" si="8"/>
        <v>1</v>
      </c>
      <c r="O28" s="1">
        <f t="shared" si="4"/>
        <v>8</v>
      </c>
      <c r="P28" s="122" t="str">
        <f t="shared" si="5"/>
        <v/>
      </c>
      <c r="Q28" s="122" t="str">
        <f t="shared" si="6"/>
        <v/>
      </c>
      <c r="R28" s="122" t="str">
        <f t="shared" si="7"/>
        <v>08:R10</v>
      </c>
    </row>
    <row r="29" spans="1:18">
      <c r="A29" s="120" t="s">
        <v>518</v>
      </c>
      <c r="B29" s="123" t="s">
        <v>519</v>
      </c>
      <c r="C29" s="120" t="s">
        <v>399</v>
      </c>
      <c r="D29" s="123" t="s">
        <v>482</v>
      </c>
      <c r="E29" s="120" t="str" cm="1">
        <f t="array" ref="E29">INDEX(LikelihoodValues,MAX(LEFT(RIGHT('Missing Control Risks'!D29,2),1)-1,1))</f>
        <v>Very Low (1)</v>
      </c>
      <c r="F29" s="123">
        <v>0</v>
      </c>
      <c r="G29" s="120">
        <f t="shared" si="0"/>
        <v>3</v>
      </c>
      <c r="H29" s="120" t="b">
        <f t="shared" si="1"/>
        <v>0</v>
      </c>
      <c r="I29" s="120" t="str">
        <f t="shared" si="9"/>
        <v>Low</v>
      </c>
      <c r="J29" s="120" t="str">
        <f>LEFT(VLOOKUP("Impact",'Risk Matrix'!$A$23:$F$23,$G29+1,FALSE),LEN(VLOOKUP("Impact",'Risk Matrix'!$A$23:$F$23,$G29+1,FALSE))-4)</f>
        <v>Moderate</v>
      </c>
      <c r="K29" s="1" t="str">
        <f t="shared" si="2"/>
        <v>Medium</v>
      </c>
      <c r="L29" s="121" t="s">
        <v>230</v>
      </c>
      <c r="M29" s="4" t="s">
        <v>228</v>
      </c>
      <c r="N29" s="122" t="b">
        <f t="shared" si="8"/>
        <v>1</v>
      </c>
      <c r="O29" s="1">
        <f t="shared" si="4"/>
        <v>4</v>
      </c>
      <c r="P29" s="122" t="str">
        <f t="shared" si="5"/>
        <v/>
      </c>
      <c r="Q29" s="122" t="str">
        <f t="shared" si="6"/>
        <v/>
      </c>
      <c r="R29" s="122" t="str">
        <f t="shared" si="7"/>
        <v>04:R10</v>
      </c>
    </row>
    <row r="30" spans="1:18">
      <c r="A30" s="120" t="s">
        <v>518</v>
      </c>
      <c r="B30" s="123" t="s">
        <v>519</v>
      </c>
      <c r="C30" s="120" t="s">
        <v>399</v>
      </c>
      <c r="D30" s="123" t="s">
        <v>481</v>
      </c>
      <c r="E30" s="120" t="str" cm="1">
        <f t="array" ref="E30">INDEX(LikelihoodValues,MAX(LEFT(RIGHT('Missing Control Risks'!D30,2),1)-1,1))</f>
        <v>Low (2)</v>
      </c>
      <c r="F30" s="123">
        <v>0</v>
      </c>
      <c r="G30" s="120">
        <f t="shared" si="0"/>
        <v>3</v>
      </c>
      <c r="H30" s="120" t="b">
        <f t="shared" si="1"/>
        <v>0</v>
      </c>
      <c r="I30" s="120" t="str">
        <f t="shared" si="9"/>
        <v>Medium</v>
      </c>
      <c r="J30" s="120" t="str">
        <f>LEFT(VLOOKUP("Impact",'Risk Matrix'!$A$23:$F$23,$G30+1,FALSE),LEN(VLOOKUP("Impact",'Risk Matrix'!$A$23:$F$23,$G30+1,FALSE))-4)</f>
        <v>Moderate</v>
      </c>
      <c r="K30" s="1" t="str">
        <f t="shared" si="2"/>
        <v>Medium</v>
      </c>
      <c r="L30" s="121" t="s">
        <v>233</v>
      </c>
      <c r="M30" s="4" t="s">
        <v>231</v>
      </c>
      <c r="N30" s="122" t="b">
        <f t="shared" si="8"/>
        <v>1</v>
      </c>
      <c r="O30" s="1">
        <f t="shared" si="4"/>
        <v>4</v>
      </c>
      <c r="P30" s="122" t="str">
        <f t="shared" si="5"/>
        <v/>
      </c>
      <c r="Q30" s="122" t="str">
        <f t="shared" si="6"/>
        <v/>
      </c>
      <c r="R30" s="122" t="str">
        <f t="shared" si="7"/>
        <v>04:R10</v>
      </c>
    </row>
    <row r="31" spans="1:18">
      <c r="A31" s="120" t="s">
        <v>520</v>
      </c>
      <c r="B31" s="123" t="s">
        <v>521</v>
      </c>
      <c r="C31" s="120" t="s">
        <v>398</v>
      </c>
      <c r="D31" s="123" t="s">
        <v>481</v>
      </c>
      <c r="E31" s="120" t="str" cm="1">
        <f t="array" ref="E31">INDEX(LikelihoodValues,MAX(LEFT(RIGHT('Missing Control Risks'!D31,2),1)-1,1))</f>
        <v>Low (2)</v>
      </c>
      <c r="F31" s="123">
        <v>0</v>
      </c>
      <c r="G31" s="120">
        <f t="shared" si="0"/>
        <v>4</v>
      </c>
      <c r="H31" s="120" t="b">
        <f t="shared" si="1"/>
        <v>0</v>
      </c>
      <c r="I31" s="120" t="str">
        <f t="shared" si="9"/>
        <v>Medium</v>
      </c>
      <c r="J31" s="120" t="str">
        <f>LEFT(VLOOKUP("Impact",'Risk Matrix'!$A$23:$F$23,$G31+1,FALSE),LEN(VLOOKUP("Impact",'Risk Matrix'!$A$23:$F$23,$G31+1,FALSE))-4)</f>
        <v>Major</v>
      </c>
      <c r="K31" s="1" t="str">
        <f t="shared" si="2"/>
        <v>High</v>
      </c>
      <c r="L31" s="121" t="s">
        <v>331</v>
      </c>
      <c r="M31" s="4" t="s">
        <v>329</v>
      </c>
      <c r="N31" s="122" t="b">
        <f t="shared" si="8"/>
        <v>1</v>
      </c>
      <c r="O31" s="1">
        <f t="shared" si="4"/>
        <v>8</v>
      </c>
      <c r="P31" s="122" t="str">
        <f t="shared" si="5"/>
        <v/>
      </c>
      <c r="Q31" s="122" t="str">
        <f t="shared" si="6"/>
        <v/>
      </c>
      <c r="R31" s="122" t="str">
        <f t="shared" si="7"/>
        <v>08:R11</v>
      </c>
    </row>
    <row r="32" spans="1:18">
      <c r="A32" s="120" t="s">
        <v>520</v>
      </c>
      <c r="B32" s="123" t="s">
        <v>521</v>
      </c>
      <c r="C32" s="120" t="s">
        <v>398</v>
      </c>
      <c r="D32" s="123" t="s">
        <v>482</v>
      </c>
      <c r="E32" s="120" t="str" cm="1">
        <f t="array" ref="E32">INDEX(LikelihoodValues,MAX(LEFT(RIGHT('Missing Control Risks'!D32,2),1)-1,1))</f>
        <v>Very Low (1)</v>
      </c>
      <c r="F32" s="123">
        <v>0</v>
      </c>
      <c r="G32" s="120">
        <f t="shared" si="0"/>
        <v>4</v>
      </c>
      <c r="H32" s="120" t="b">
        <f t="shared" si="1"/>
        <v>0</v>
      </c>
      <c r="I32" s="120" t="str">
        <f t="shared" si="9"/>
        <v>Low</v>
      </c>
      <c r="J32" s="120" t="str">
        <f>LEFT(VLOOKUP("Impact",'Risk Matrix'!$A$23:$F$23,$G32+1,FALSE),LEN(VLOOKUP("Impact",'Risk Matrix'!$A$23:$F$23,$G32+1,FALSE))-4)</f>
        <v>Major</v>
      </c>
      <c r="K32" s="1" t="str">
        <f t="shared" si="2"/>
        <v>Medium</v>
      </c>
      <c r="L32" s="121" t="s">
        <v>277</v>
      </c>
      <c r="M32" s="4" t="s">
        <v>275</v>
      </c>
      <c r="N32" s="122" t="b">
        <f t="shared" si="8"/>
        <v>1</v>
      </c>
      <c r="O32" s="1">
        <f t="shared" si="4"/>
        <v>8</v>
      </c>
      <c r="P32" s="122" t="str">
        <f t="shared" si="5"/>
        <v/>
      </c>
      <c r="Q32" s="122" t="str">
        <f t="shared" si="6"/>
        <v/>
      </c>
      <c r="R32" s="122" t="str">
        <f t="shared" si="7"/>
        <v>08:R11</v>
      </c>
    </row>
    <row r="33" spans="1:18">
      <c r="A33" s="120" t="s">
        <v>520</v>
      </c>
      <c r="B33" s="123" t="s">
        <v>521</v>
      </c>
      <c r="C33" s="120" t="s">
        <v>398</v>
      </c>
      <c r="D33" s="123" t="s">
        <v>482</v>
      </c>
      <c r="E33" s="120" t="str" cm="1">
        <f t="array" ref="E33">INDEX(LikelihoodValues,MAX(LEFT(RIGHT('Missing Control Risks'!D33,2),1)-1,1))</f>
        <v>Very Low (1)</v>
      </c>
      <c r="F33" s="123">
        <v>0</v>
      </c>
      <c r="G33" s="120">
        <f t="shared" si="0"/>
        <v>4</v>
      </c>
      <c r="H33" s="120" t="b">
        <f t="shared" si="1"/>
        <v>0</v>
      </c>
      <c r="I33" s="120" t="str">
        <f t="shared" si="9"/>
        <v>Low</v>
      </c>
      <c r="J33" s="120" t="str">
        <f>LEFT(VLOOKUP("Impact",'Risk Matrix'!$A$23:$F$23,$G33+1,FALSE),LEN(VLOOKUP("Impact",'Risk Matrix'!$A$23:$F$23,$G33+1,FALSE))-4)</f>
        <v>Major</v>
      </c>
      <c r="K33" s="1" t="str">
        <f t="shared" si="2"/>
        <v>Medium</v>
      </c>
      <c r="L33" s="121" t="s">
        <v>274</v>
      </c>
      <c r="M33" s="4" t="s">
        <v>271</v>
      </c>
      <c r="N33" s="122" t="b">
        <f t="shared" si="8"/>
        <v>1</v>
      </c>
      <c r="O33" s="1">
        <f t="shared" si="4"/>
        <v>4</v>
      </c>
      <c r="P33" s="122" t="str">
        <f t="shared" si="5"/>
        <v/>
      </c>
      <c r="Q33" s="122" t="str">
        <f t="shared" si="6"/>
        <v/>
      </c>
      <c r="R33" s="122" t="str">
        <f t="shared" si="7"/>
        <v>04:R11</v>
      </c>
    </row>
    <row r="34" spans="1:18">
      <c r="A34" s="120" t="s">
        <v>520</v>
      </c>
      <c r="B34" s="123" t="s">
        <v>521</v>
      </c>
      <c r="C34" s="120" t="s">
        <v>398</v>
      </c>
      <c r="D34" s="123" t="s">
        <v>480</v>
      </c>
      <c r="E34" s="120" t="str" cm="1">
        <f t="array" ref="E34">INDEX(LikelihoodValues,MAX(LEFT(RIGHT('Missing Control Risks'!D34,2),1)-1,1))</f>
        <v>Medium (3)</v>
      </c>
      <c r="F34" s="123">
        <v>0</v>
      </c>
      <c r="G34" s="120">
        <f t="shared" si="0"/>
        <v>4</v>
      </c>
      <c r="H34" s="120" t="b">
        <f t="shared" si="1"/>
        <v>0</v>
      </c>
      <c r="I34" s="120" t="str">
        <f t="shared" si="9"/>
        <v>High</v>
      </c>
      <c r="J34" s="120" t="str">
        <f>LEFT(VLOOKUP("Impact",'Risk Matrix'!$A$23:$F$23,$G34+1,FALSE),LEN(VLOOKUP("Impact",'Risk Matrix'!$A$23:$F$23,$G34+1,FALSE))-4)</f>
        <v>Major</v>
      </c>
      <c r="K34" s="1" t="str">
        <f t="shared" si="2"/>
        <v>High</v>
      </c>
      <c r="L34" s="121" t="s">
        <v>310</v>
      </c>
      <c r="M34" s="4" t="s">
        <v>307</v>
      </c>
      <c r="N34" s="122" t="b">
        <f t="shared" si="8"/>
        <v>1</v>
      </c>
      <c r="O34" s="1">
        <f t="shared" si="4"/>
        <v>4</v>
      </c>
      <c r="P34" s="122" t="str">
        <f t="shared" si="5"/>
        <v/>
      </c>
      <c r="Q34" s="122" t="str">
        <f t="shared" si="6"/>
        <v/>
      </c>
      <c r="R34" s="122" t="str">
        <f t="shared" si="7"/>
        <v>04:R11</v>
      </c>
    </row>
    <row r="35" spans="1:18">
      <c r="A35" s="120" t="s">
        <v>522</v>
      </c>
      <c r="B35" s="123" t="s">
        <v>523</v>
      </c>
      <c r="C35" s="120" t="s">
        <v>398</v>
      </c>
      <c r="D35" s="123" t="s">
        <v>480</v>
      </c>
      <c r="E35" s="120" t="str" cm="1">
        <f t="array" ref="E35">INDEX(LikelihoodValues,MAX(LEFT(RIGHT('Missing Control Risks'!D35,2),1)-1,1))</f>
        <v>Medium (3)</v>
      </c>
      <c r="F35" s="123">
        <v>0</v>
      </c>
      <c r="G35" s="120">
        <f t="shared" si="0"/>
        <v>4</v>
      </c>
      <c r="H35" s="120" t="b">
        <f t="shared" si="1"/>
        <v>0</v>
      </c>
      <c r="I35" s="120" t="str">
        <f t="shared" si="9"/>
        <v>High</v>
      </c>
      <c r="J35" s="120" t="str">
        <f>LEFT(VLOOKUP("Impact",'Risk Matrix'!$A$23:$F$23,$G35+1,FALSE),LEN(VLOOKUP("Impact",'Risk Matrix'!$A$23:$F$23,$G35+1,FALSE))-4)</f>
        <v>Major</v>
      </c>
      <c r="K35" s="1" t="str">
        <f t="shared" si="2"/>
        <v>High</v>
      </c>
      <c r="L35" s="121" t="s">
        <v>328</v>
      </c>
      <c r="M35" s="4" t="s">
        <v>326</v>
      </c>
      <c r="N35" s="122" t="b">
        <f t="shared" si="8"/>
        <v>1</v>
      </c>
      <c r="O35" s="1">
        <f t="shared" si="4"/>
        <v>8</v>
      </c>
      <c r="P35" s="122" t="str">
        <f t="shared" si="5"/>
        <v/>
      </c>
      <c r="Q35" s="122" t="str">
        <f t="shared" si="6"/>
        <v/>
      </c>
      <c r="R35" s="122" t="str">
        <f t="shared" si="7"/>
        <v>08:R12</v>
      </c>
    </row>
    <row r="36" spans="1:18">
      <c r="A36" s="120" t="s">
        <v>522</v>
      </c>
      <c r="B36" s="123" t="s">
        <v>523</v>
      </c>
      <c r="C36" s="120" t="s">
        <v>398</v>
      </c>
      <c r="D36" s="123" t="s">
        <v>482</v>
      </c>
      <c r="E36" s="120" t="str" cm="1">
        <f t="array" ref="E36">INDEX(LikelihoodValues,MAX(LEFT(RIGHT('Missing Control Risks'!D36,2),1)-1,1))</f>
        <v>Very Low (1)</v>
      </c>
      <c r="F36" s="123">
        <v>0</v>
      </c>
      <c r="G36" s="120">
        <f t="shared" si="0"/>
        <v>4</v>
      </c>
      <c r="H36" s="120" t="b">
        <f t="shared" si="1"/>
        <v>0</v>
      </c>
      <c r="I36" s="120" t="str">
        <f t="shared" si="9"/>
        <v>Low</v>
      </c>
      <c r="J36" s="120" t="str">
        <f>LEFT(VLOOKUP("Impact",'Risk Matrix'!$A$23:$F$23,$G36+1,FALSE),LEN(VLOOKUP("Impact",'Risk Matrix'!$A$23:$F$23,$G36+1,FALSE))-4)</f>
        <v>Major</v>
      </c>
      <c r="K36" s="1" t="str">
        <f t="shared" si="2"/>
        <v>Medium</v>
      </c>
      <c r="L36" s="121" t="s">
        <v>305</v>
      </c>
      <c r="M36" s="4" t="s">
        <v>303</v>
      </c>
      <c r="N36" s="122" t="b">
        <f t="shared" si="8"/>
        <v>1</v>
      </c>
      <c r="O36" s="1">
        <f t="shared" ref="O36:O68" si="28">VLOOKUP(CONCATENATE(K36,"-",VLOOKUP(M36,AssessedControls,7,FALSE)),ControlPriority,2,FALSE)</f>
        <v>8</v>
      </c>
      <c r="P36" s="122" t="str">
        <f t="shared" ref="P36:P68" si="29">IF(VLOOKUP($M36,AssessedControls,8,FALSE)=0,"",VLOOKUP($M36,AssessedControls,8,FALSE))</f>
        <v/>
      </c>
      <c r="Q36" s="122" t="str">
        <f t="shared" ref="Q36:Q68" si="30">IF(VLOOKUP($M36,AssessedControls,9,FALSE)=0,"",VLOOKUP($M36,AssessedControls,9,FALSE))</f>
        <v/>
      </c>
      <c r="R36" s="122" t="str">
        <f t="shared" ref="R36:R68" si="31">CONCATENATE(TEXT(O36,"00"),":",A36)</f>
        <v>08:R12</v>
      </c>
    </row>
    <row r="37" spans="1:18">
      <c r="A37" s="120" t="s">
        <v>524</v>
      </c>
      <c r="B37" s="123" t="s">
        <v>525</v>
      </c>
      <c r="C37" s="120" t="s">
        <v>398</v>
      </c>
      <c r="D37" s="123" t="s">
        <v>481</v>
      </c>
      <c r="E37" s="120" t="str" cm="1">
        <f t="array" ref="E37">INDEX(LikelihoodValues,MAX(LEFT(RIGHT('Missing Control Risks'!D37,2),1)-1,1))</f>
        <v>Low (2)</v>
      </c>
      <c r="F37" s="123">
        <v>0</v>
      </c>
      <c r="G37" s="120">
        <f t="shared" ref="G37:G69" si="32">MIN(VLOOKUP(C37,ImpactTypeRatings,2,FALSE)+F37,5)</f>
        <v>4</v>
      </c>
      <c r="H37" s="120" t="b">
        <f t="shared" si="1"/>
        <v>0</v>
      </c>
      <c r="I37" s="120" t="str">
        <f t="shared" si="9"/>
        <v>Medium</v>
      </c>
      <c r="J37" s="120" t="str">
        <f>LEFT(VLOOKUP("Impact",'Risk Matrix'!$A$23:$F$23,$G37+1,FALSE),LEN(VLOOKUP("Impact",'Risk Matrix'!$A$23:$F$23,$G37+1,FALSE))-4)</f>
        <v>Major</v>
      </c>
      <c r="K37" s="1" t="str">
        <f t="shared" si="2"/>
        <v>High</v>
      </c>
      <c r="L37" s="121" t="s">
        <v>321</v>
      </c>
      <c r="M37" s="4" t="s">
        <v>318</v>
      </c>
      <c r="N37" s="122" t="b">
        <f t="shared" si="8"/>
        <v>1</v>
      </c>
      <c r="O37" s="1">
        <f t="shared" si="28"/>
        <v>8</v>
      </c>
      <c r="P37" s="122" t="str">
        <f t="shared" si="29"/>
        <v/>
      </c>
      <c r="Q37" s="122" t="str">
        <f t="shared" si="30"/>
        <v/>
      </c>
      <c r="R37" s="122" t="str">
        <f t="shared" si="31"/>
        <v>08:R13</v>
      </c>
    </row>
    <row r="38" spans="1:18" ht="28.8">
      <c r="A38" s="120" t="s">
        <v>526</v>
      </c>
      <c r="B38" s="123" t="s">
        <v>527</v>
      </c>
      <c r="C38" s="120" t="s">
        <v>398</v>
      </c>
      <c r="D38" s="123" t="s">
        <v>482</v>
      </c>
      <c r="E38" s="120" t="str" cm="1">
        <f t="array" ref="E38">INDEX(LikelihoodValues,MAX(LEFT(RIGHT('Missing Control Risks'!D38,2),1)-1,1))</f>
        <v>Very Low (1)</v>
      </c>
      <c r="F38" s="123">
        <v>0</v>
      </c>
      <c r="G38" s="120">
        <f t="shared" si="32"/>
        <v>4</v>
      </c>
      <c r="H38" s="120" t="b">
        <f t="shared" si="1"/>
        <v>0</v>
      </c>
      <c r="I38" s="120" t="str">
        <f t="shared" si="9"/>
        <v>Low</v>
      </c>
      <c r="J38" s="120" t="str">
        <f>LEFT(VLOOKUP("Impact",'Risk Matrix'!$A$23:$F$23,$G38+1,FALSE),LEN(VLOOKUP("Impact",'Risk Matrix'!$A$23:$F$23,$G38+1,FALSE))-4)</f>
        <v>Major</v>
      </c>
      <c r="K38" s="1" t="str">
        <f t="shared" ref="K38:K70" si="33">IF($H38,VLOOKUP($E38,Risk_Rows,$G38+1,FALSE),VLOOKUP($D38,Risk_Rows,$G38+1,FALSE))</f>
        <v>Medium</v>
      </c>
      <c r="L38" s="121" t="s">
        <v>334</v>
      </c>
      <c r="M38" s="4" t="s">
        <v>332</v>
      </c>
      <c r="N38" s="122" t="b">
        <f t="shared" si="8"/>
        <v>1</v>
      </c>
      <c r="O38" s="1">
        <f t="shared" si="28"/>
        <v>2</v>
      </c>
      <c r="P38" s="122" t="str">
        <f t="shared" si="29"/>
        <v/>
      </c>
      <c r="Q38" s="122" t="str">
        <f t="shared" si="30"/>
        <v/>
      </c>
      <c r="R38" s="122" t="str">
        <f t="shared" si="31"/>
        <v>02:R14</v>
      </c>
    </row>
    <row r="39" spans="1:18" ht="28.8">
      <c r="A39" s="120" t="s">
        <v>526</v>
      </c>
      <c r="B39" s="123" t="s">
        <v>527</v>
      </c>
      <c r="C39" s="120" t="s">
        <v>398</v>
      </c>
      <c r="D39" s="123" t="s">
        <v>481</v>
      </c>
      <c r="E39" s="120" t="str" cm="1">
        <f t="array" ref="E39">INDEX(LikelihoodValues,MAX(LEFT(RIGHT('Missing Control Risks'!D39,2),1)-1,1))</f>
        <v>Low (2)</v>
      </c>
      <c r="F39" s="123">
        <v>0</v>
      </c>
      <c r="G39" s="120">
        <f t="shared" si="32"/>
        <v>4</v>
      </c>
      <c r="H39" s="120" t="b">
        <f t="shared" si="1"/>
        <v>0</v>
      </c>
      <c r="I39" s="120" t="str">
        <f t="shared" si="9"/>
        <v>Medium</v>
      </c>
      <c r="J39" s="120" t="str">
        <f>LEFT(VLOOKUP("Impact",'Risk Matrix'!$A$23:$F$23,$G39+1,FALSE),LEN(VLOOKUP("Impact",'Risk Matrix'!$A$23:$F$23,$G39+1,FALSE))-4)</f>
        <v>Major</v>
      </c>
      <c r="K39" s="1" t="str">
        <f t="shared" si="33"/>
        <v>High</v>
      </c>
      <c r="L39" s="121" t="s">
        <v>317</v>
      </c>
      <c r="M39" s="4" t="s">
        <v>315</v>
      </c>
      <c r="N39" s="122" t="b">
        <f t="shared" si="8"/>
        <v>1</v>
      </c>
      <c r="O39" s="1">
        <f t="shared" si="28"/>
        <v>8</v>
      </c>
      <c r="P39" s="122" t="str">
        <f t="shared" si="29"/>
        <v/>
      </c>
      <c r="Q39" s="122" t="str">
        <f t="shared" si="30"/>
        <v/>
      </c>
      <c r="R39" s="122" t="str">
        <f t="shared" si="31"/>
        <v>08:R14</v>
      </c>
    </row>
    <row r="40" spans="1:18" ht="28.8">
      <c r="A40" s="120" t="s">
        <v>526</v>
      </c>
      <c r="B40" s="123" t="s">
        <v>527</v>
      </c>
      <c r="C40" s="120" t="s">
        <v>398</v>
      </c>
      <c r="D40" s="123" t="s">
        <v>481</v>
      </c>
      <c r="E40" s="120" t="str" cm="1">
        <f t="array" ref="E40">INDEX(LikelihoodValues,MAX(LEFT(RIGHT('Missing Control Risks'!D40,2),1)-1,1))</f>
        <v>Low (2)</v>
      </c>
      <c r="F40" s="123">
        <v>0</v>
      </c>
      <c r="G40" s="120">
        <f t="shared" si="32"/>
        <v>4</v>
      </c>
      <c r="H40" s="120" t="b">
        <f t="shared" si="1"/>
        <v>0</v>
      </c>
      <c r="I40" s="120" t="str">
        <f t="shared" si="9"/>
        <v>Medium</v>
      </c>
      <c r="J40" s="120" t="str">
        <f>LEFT(VLOOKUP("Impact",'Risk Matrix'!$A$23:$F$23,$G40+1,FALSE),LEN(VLOOKUP("Impact",'Risk Matrix'!$A$23:$F$23,$G40+1,FALSE))-4)</f>
        <v>Major</v>
      </c>
      <c r="K40" s="1" t="str">
        <f t="shared" si="33"/>
        <v>High</v>
      </c>
      <c r="L40" s="121" t="s">
        <v>314</v>
      </c>
      <c r="M40" s="4" t="s">
        <v>311</v>
      </c>
      <c r="N40" s="122" t="b">
        <f t="shared" si="8"/>
        <v>1</v>
      </c>
      <c r="O40" s="1">
        <f t="shared" si="28"/>
        <v>4</v>
      </c>
      <c r="P40" s="122" t="str">
        <f t="shared" si="29"/>
        <v/>
      </c>
      <c r="Q40" s="122" t="str">
        <f t="shared" si="30"/>
        <v/>
      </c>
      <c r="R40" s="122" t="str">
        <f t="shared" si="31"/>
        <v>04:R14</v>
      </c>
    </row>
    <row r="41" spans="1:18">
      <c r="A41" s="120" t="s">
        <v>528</v>
      </c>
      <c r="B41" s="123" t="s">
        <v>529</v>
      </c>
      <c r="C41" s="120" t="s">
        <v>398</v>
      </c>
      <c r="D41" s="123" t="s">
        <v>482</v>
      </c>
      <c r="E41" s="120" t="str" cm="1">
        <f t="array" ref="E41">INDEX(LikelihoodValues,MAX(LEFT(RIGHT('Missing Control Risks'!D41,2),1)-1,1))</f>
        <v>Very Low (1)</v>
      </c>
      <c r="F41" s="123">
        <v>0</v>
      </c>
      <c r="G41" s="120">
        <f t="shared" si="32"/>
        <v>4</v>
      </c>
      <c r="H41" s="120" t="b">
        <f t="shared" si="1"/>
        <v>0</v>
      </c>
      <c r="I41" s="120" t="str">
        <f t="shared" si="9"/>
        <v>Low</v>
      </c>
      <c r="J41" s="120" t="str">
        <f>LEFT(VLOOKUP("Impact",'Risk Matrix'!$A$23:$F$23,$G41+1,FALSE),LEN(VLOOKUP("Impact",'Risk Matrix'!$A$23:$F$23,$G41+1,FALSE))-4)</f>
        <v>Major</v>
      </c>
      <c r="K41" s="1" t="str">
        <f t="shared" si="33"/>
        <v>Medium</v>
      </c>
      <c r="L41" s="121" t="s">
        <v>325</v>
      </c>
      <c r="M41" s="4" t="s">
        <v>322</v>
      </c>
      <c r="N41" s="122" t="b">
        <f t="shared" si="8"/>
        <v>0</v>
      </c>
      <c r="O41" s="1">
        <f t="shared" si="28"/>
        <v>8</v>
      </c>
      <c r="P41" s="122" t="str">
        <f t="shared" si="29"/>
        <v/>
      </c>
      <c r="Q41" s="122" t="str">
        <f t="shared" si="30"/>
        <v/>
      </c>
      <c r="R41" s="122" t="str">
        <f t="shared" si="31"/>
        <v>08:R15</v>
      </c>
    </row>
    <row r="42" spans="1:18">
      <c r="A42" s="120" t="s">
        <v>528</v>
      </c>
      <c r="B42" s="123" t="s">
        <v>529</v>
      </c>
      <c r="C42" s="120" t="s">
        <v>398</v>
      </c>
      <c r="D42" s="123" t="s">
        <v>482</v>
      </c>
      <c r="E42" s="120" t="str" cm="1">
        <f t="array" ref="E42">INDEX(LikelihoodValues,MAX(LEFT(RIGHT('Missing Control Risks'!D42,2),1)-1,1))</f>
        <v>Very Low (1)</v>
      </c>
      <c r="F42" s="123">
        <v>0</v>
      </c>
      <c r="G42" s="120">
        <f t="shared" si="32"/>
        <v>4</v>
      </c>
      <c r="H42" s="120" t="b">
        <f t="shared" si="1"/>
        <v>0</v>
      </c>
      <c r="I42" s="120" t="str">
        <f t="shared" si="9"/>
        <v>Low</v>
      </c>
      <c r="J42" s="120" t="str">
        <f>LEFT(VLOOKUP("Impact",'Risk Matrix'!$A$23:$F$23,$G42+1,FALSE),LEN(VLOOKUP("Impact",'Risk Matrix'!$A$23:$F$23,$G42+1,FALSE))-4)</f>
        <v>Major</v>
      </c>
      <c r="K42" s="1" t="str">
        <f t="shared" si="33"/>
        <v>Medium</v>
      </c>
      <c r="L42" s="121" t="s">
        <v>317</v>
      </c>
      <c r="M42" s="4" t="s">
        <v>315</v>
      </c>
      <c r="N42" s="122" t="b">
        <f t="shared" si="8"/>
        <v>1</v>
      </c>
      <c r="O42" s="1">
        <f t="shared" si="28"/>
        <v>4</v>
      </c>
      <c r="P42" s="122" t="str">
        <f t="shared" si="29"/>
        <v/>
      </c>
      <c r="Q42" s="122" t="str">
        <f t="shared" si="30"/>
        <v/>
      </c>
      <c r="R42" s="122" t="str">
        <f t="shared" si="31"/>
        <v>04:R15</v>
      </c>
    </row>
    <row r="43" spans="1:18">
      <c r="A43" s="120" t="s">
        <v>528</v>
      </c>
      <c r="B43" s="123" t="s">
        <v>529</v>
      </c>
      <c r="C43" s="120" t="s">
        <v>398</v>
      </c>
      <c r="D43" s="123" t="s">
        <v>482</v>
      </c>
      <c r="E43" s="120" t="str" cm="1">
        <f t="array" ref="E43">INDEX(LikelihoodValues,MAX(LEFT(RIGHT('Missing Control Risks'!D43,2),1)-1,1))</f>
        <v>Very Low (1)</v>
      </c>
      <c r="F43" s="123">
        <v>0</v>
      </c>
      <c r="G43" s="120">
        <f t="shared" si="32"/>
        <v>4</v>
      </c>
      <c r="H43" s="120" t="b">
        <f t="shared" si="1"/>
        <v>0</v>
      </c>
      <c r="I43" s="120" t="str">
        <f t="shared" si="9"/>
        <v>Low</v>
      </c>
      <c r="J43" s="120" t="str">
        <f>LEFT(VLOOKUP("Impact",'Risk Matrix'!$A$23:$F$23,$G43+1,FALSE),LEN(VLOOKUP("Impact",'Risk Matrix'!$A$23:$F$23,$G43+1,FALSE))-4)</f>
        <v>Major</v>
      </c>
      <c r="K43" s="1" t="str">
        <f t="shared" si="33"/>
        <v>Medium</v>
      </c>
      <c r="L43" s="121" t="s">
        <v>314</v>
      </c>
      <c r="M43" s="4" t="s">
        <v>311</v>
      </c>
      <c r="N43" s="122" t="b">
        <f t="shared" si="8"/>
        <v>1</v>
      </c>
      <c r="O43" s="1">
        <f t="shared" si="28"/>
        <v>2</v>
      </c>
      <c r="P43" s="122" t="str">
        <f t="shared" si="29"/>
        <v/>
      </c>
      <c r="Q43" s="122" t="str">
        <f t="shared" si="30"/>
        <v/>
      </c>
      <c r="R43" s="122" t="str">
        <f t="shared" si="31"/>
        <v>02:R15</v>
      </c>
    </row>
    <row r="44" spans="1:18" ht="28.8">
      <c r="A44" s="120" t="s">
        <v>530</v>
      </c>
      <c r="B44" s="123" t="s">
        <v>531</v>
      </c>
      <c r="C44" s="120" t="s">
        <v>372</v>
      </c>
      <c r="D44" s="123" t="s">
        <v>481</v>
      </c>
      <c r="E44" s="120" t="str" cm="1">
        <f t="array" ref="E44">INDEX(LikelihoodValues,MAX(LEFT(RIGHT('Missing Control Risks'!D44,2),1)-1,1))</f>
        <v>Low (2)</v>
      </c>
      <c r="F44" s="123">
        <v>0</v>
      </c>
      <c r="G44" s="120">
        <f t="shared" si="32"/>
        <v>4</v>
      </c>
      <c r="H44" s="120" t="b">
        <f t="shared" si="1"/>
        <v>0</v>
      </c>
      <c r="I44" s="120" t="str">
        <f t="shared" si="9"/>
        <v>Medium</v>
      </c>
      <c r="J44" s="120" t="str">
        <f>LEFT(VLOOKUP("Impact",'Risk Matrix'!$A$23:$F$23,$G44+1,FALSE),LEN(VLOOKUP("Impact",'Risk Matrix'!$A$23:$F$23,$G44+1,FALSE))-4)</f>
        <v>Major</v>
      </c>
      <c r="K44" s="1" t="str">
        <f t="shared" si="33"/>
        <v>High</v>
      </c>
      <c r="L44" s="121" t="s">
        <v>193</v>
      </c>
      <c r="M44" s="4" t="s">
        <v>191</v>
      </c>
      <c r="N44" s="122" t="b">
        <f t="shared" si="8"/>
        <v>1</v>
      </c>
      <c r="O44" s="1">
        <f t="shared" si="28"/>
        <v>16</v>
      </c>
      <c r="P44" s="122" t="str">
        <f t="shared" si="29"/>
        <v/>
      </c>
      <c r="Q44" s="122" t="str">
        <f t="shared" si="30"/>
        <v/>
      </c>
      <c r="R44" s="122" t="str">
        <f t="shared" si="31"/>
        <v>16:R16</v>
      </c>
    </row>
    <row r="45" spans="1:18" ht="28.8">
      <c r="A45" s="120" t="s">
        <v>532</v>
      </c>
      <c r="B45" s="123" t="s">
        <v>533</v>
      </c>
      <c r="C45" s="120" t="s">
        <v>372</v>
      </c>
      <c r="D45" s="123" t="s">
        <v>482</v>
      </c>
      <c r="E45" s="120" t="str" cm="1">
        <f t="array" ref="E45">INDEX(LikelihoodValues,MAX(LEFT(RIGHT('Missing Control Risks'!D45,2),1)-1,1))</f>
        <v>Very Low (1)</v>
      </c>
      <c r="F45" s="123">
        <v>0</v>
      </c>
      <c r="G45" s="120">
        <f t="shared" si="32"/>
        <v>4</v>
      </c>
      <c r="H45" s="120" t="b">
        <f t="shared" si="1"/>
        <v>0</v>
      </c>
      <c r="I45" s="120" t="str">
        <f t="shared" si="9"/>
        <v>Low</v>
      </c>
      <c r="J45" s="120" t="str">
        <f>LEFT(VLOOKUP("Impact",'Risk Matrix'!$A$23:$F$23,$G45+1,FALSE),LEN(VLOOKUP("Impact",'Risk Matrix'!$A$23:$F$23,$G45+1,FALSE))-4)</f>
        <v>Major</v>
      </c>
      <c r="K45" s="1" t="str">
        <f t="shared" si="33"/>
        <v>Medium</v>
      </c>
      <c r="L45" s="121" t="s">
        <v>190</v>
      </c>
      <c r="M45" s="4" t="s">
        <v>188</v>
      </c>
      <c r="N45" s="122" t="b">
        <f t="shared" si="8"/>
        <v>1</v>
      </c>
      <c r="O45" s="1">
        <f t="shared" si="28"/>
        <v>2</v>
      </c>
      <c r="P45" s="122" t="str">
        <f t="shared" si="29"/>
        <v/>
      </c>
      <c r="Q45" s="122" t="str">
        <f t="shared" si="30"/>
        <v/>
      </c>
      <c r="R45" s="122" t="str">
        <f t="shared" si="31"/>
        <v>02:R17</v>
      </c>
    </row>
    <row r="46" spans="1:18" ht="28.8">
      <c r="A46" s="120" t="s">
        <v>532</v>
      </c>
      <c r="B46" s="123" t="s">
        <v>533</v>
      </c>
      <c r="C46" s="120" t="s">
        <v>372</v>
      </c>
      <c r="D46" s="123" t="s">
        <v>481</v>
      </c>
      <c r="E46" s="120" t="str" cm="1">
        <f t="array" ref="E46">INDEX(LikelihoodValues,MAX(LEFT(RIGHT('Missing Control Risks'!D46,2),1)-1,1))</f>
        <v>Low (2)</v>
      </c>
      <c r="F46" s="123">
        <v>0</v>
      </c>
      <c r="G46" s="120">
        <f t="shared" si="32"/>
        <v>4</v>
      </c>
      <c r="H46" s="120" t="b">
        <f t="shared" si="1"/>
        <v>0</v>
      </c>
      <c r="I46" s="120" t="str">
        <f t="shared" si="9"/>
        <v>Medium</v>
      </c>
      <c r="J46" s="120" t="str">
        <f>LEFT(VLOOKUP("Impact",'Risk Matrix'!$A$23:$F$23,$G46+1,FALSE),LEN(VLOOKUP("Impact",'Risk Matrix'!$A$23:$F$23,$G46+1,FALSE))-4)</f>
        <v>Major</v>
      </c>
      <c r="K46" s="1" t="str">
        <f t="shared" si="33"/>
        <v>High</v>
      </c>
      <c r="L46" s="121" t="s">
        <v>221</v>
      </c>
      <c r="M46" s="4" t="s">
        <v>218</v>
      </c>
      <c r="N46" s="122" t="b">
        <f t="shared" si="8"/>
        <v>1</v>
      </c>
      <c r="O46" s="1">
        <f t="shared" si="28"/>
        <v>4</v>
      </c>
      <c r="P46" s="122" t="str">
        <f t="shared" si="29"/>
        <v/>
      </c>
      <c r="Q46" s="122" t="str">
        <f t="shared" si="30"/>
        <v/>
      </c>
      <c r="R46" s="122" t="str">
        <f t="shared" si="31"/>
        <v>04:R17</v>
      </c>
    </row>
    <row r="47" spans="1:18">
      <c r="A47" s="120" t="s">
        <v>534</v>
      </c>
      <c r="B47" s="123" t="s">
        <v>535</v>
      </c>
      <c r="C47" s="120" t="s">
        <v>398</v>
      </c>
      <c r="D47" s="123" t="s">
        <v>482</v>
      </c>
      <c r="E47" s="120" t="str" cm="1">
        <f t="array" ref="E47">INDEX(LikelihoodValues,MAX(LEFT(RIGHT('Missing Control Risks'!D47,2),1)-1,1))</f>
        <v>Very Low (1)</v>
      </c>
      <c r="F47" s="123">
        <v>0</v>
      </c>
      <c r="G47" s="120">
        <f t="shared" si="32"/>
        <v>4</v>
      </c>
      <c r="H47" s="120" t="b">
        <f t="shared" si="1"/>
        <v>0</v>
      </c>
      <c r="I47" s="120" t="str">
        <f t="shared" si="9"/>
        <v>Low</v>
      </c>
      <c r="J47" s="120" t="str">
        <f>LEFT(VLOOKUP("Impact",'Risk Matrix'!$A$23:$F$23,$G47+1,FALSE),LEN(VLOOKUP("Impact",'Risk Matrix'!$A$23:$F$23,$G47+1,FALSE))-4)</f>
        <v>Major</v>
      </c>
      <c r="K47" s="1" t="str">
        <f t="shared" si="33"/>
        <v>Medium</v>
      </c>
      <c r="L47" s="121" t="s">
        <v>221</v>
      </c>
      <c r="M47" s="8" t="s">
        <v>218</v>
      </c>
      <c r="N47" s="122" t="b">
        <f t="shared" si="8"/>
        <v>1</v>
      </c>
      <c r="O47" s="1">
        <f t="shared" si="28"/>
        <v>2</v>
      </c>
      <c r="P47" s="122" t="str">
        <f t="shared" si="29"/>
        <v/>
      </c>
      <c r="Q47" s="122" t="str">
        <f t="shared" si="30"/>
        <v/>
      </c>
      <c r="R47" s="122" t="str">
        <f t="shared" si="31"/>
        <v>02:R18</v>
      </c>
    </row>
    <row r="48" spans="1:18" ht="28.8">
      <c r="A48" s="120" t="s">
        <v>536</v>
      </c>
      <c r="B48" s="123" t="s">
        <v>537</v>
      </c>
      <c r="C48" s="120" t="s">
        <v>392</v>
      </c>
      <c r="D48" s="123" t="s">
        <v>482</v>
      </c>
      <c r="E48" s="120" t="str" cm="1">
        <f t="array" ref="E48">INDEX(LikelihoodValues,MAX(LEFT(RIGHT('Missing Control Risks'!D48,2),1)-1,1))</f>
        <v>Very Low (1)</v>
      </c>
      <c r="F48" s="123">
        <v>0</v>
      </c>
      <c r="G48" s="120">
        <f t="shared" si="32"/>
        <v>4</v>
      </c>
      <c r="H48" s="120" t="b">
        <f t="shared" si="1"/>
        <v>0</v>
      </c>
      <c r="I48" s="120" t="str">
        <f t="shared" si="9"/>
        <v>Low</v>
      </c>
      <c r="J48" s="120" t="str">
        <f>LEFT(VLOOKUP("Impact",'Risk Matrix'!$A$23:$F$23,$G48+1,FALSE),LEN(VLOOKUP("Impact",'Risk Matrix'!$A$23:$F$23,$G48+1,FALSE))-4)</f>
        <v>Major</v>
      </c>
      <c r="K48" s="1" t="str">
        <f t="shared" si="33"/>
        <v>Medium</v>
      </c>
      <c r="L48" s="121" t="s">
        <v>293</v>
      </c>
      <c r="M48" s="4" t="s">
        <v>291</v>
      </c>
      <c r="N48" s="122" t="b">
        <f t="shared" si="8"/>
        <v>1</v>
      </c>
      <c r="O48" s="1">
        <f t="shared" si="28"/>
        <v>8</v>
      </c>
      <c r="P48" s="122" t="str">
        <f t="shared" si="29"/>
        <v/>
      </c>
      <c r="Q48" s="122" t="str">
        <f t="shared" si="30"/>
        <v/>
      </c>
      <c r="R48" s="122" t="str">
        <f t="shared" si="31"/>
        <v>08:R19</v>
      </c>
    </row>
    <row r="49" spans="1:18">
      <c r="A49" s="120" t="s">
        <v>536</v>
      </c>
      <c r="B49" s="123" t="s">
        <v>537</v>
      </c>
      <c r="C49" s="120" t="s">
        <v>392</v>
      </c>
      <c r="D49" s="123" t="s">
        <v>482</v>
      </c>
      <c r="E49" s="120" t="str" cm="1">
        <f t="array" ref="E49">INDEX(LikelihoodValues,MAX(LEFT(RIGHT('Missing Control Risks'!D49,2),1)-1,1))</f>
        <v>Very Low (1)</v>
      </c>
      <c r="F49" s="123">
        <v>0</v>
      </c>
      <c r="G49" s="120">
        <f t="shared" si="32"/>
        <v>4</v>
      </c>
      <c r="H49" s="120" t="b">
        <f t="shared" si="1"/>
        <v>0</v>
      </c>
      <c r="I49" s="120" t="str">
        <f t="shared" si="9"/>
        <v>Low</v>
      </c>
      <c r="J49" s="120" t="str">
        <f>LEFT(VLOOKUP("Impact",'Risk Matrix'!$A$23:$F$23,$G49+1,FALSE),LEN(VLOOKUP("Impact",'Risk Matrix'!$A$23:$F$23,$G49+1,FALSE))-4)</f>
        <v>Major</v>
      </c>
      <c r="K49" s="1" t="str">
        <f t="shared" si="33"/>
        <v>Medium</v>
      </c>
      <c r="L49" s="121" t="s">
        <v>299</v>
      </c>
      <c r="M49" s="4" t="s">
        <v>297</v>
      </c>
      <c r="N49" s="122" t="b">
        <f t="shared" si="8"/>
        <v>1</v>
      </c>
      <c r="O49" s="1">
        <f t="shared" si="28"/>
        <v>4</v>
      </c>
      <c r="P49" s="122" t="str">
        <f t="shared" si="29"/>
        <v/>
      </c>
      <c r="Q49" s="122" t="str">
        <f t="shared" si="30"/>
        <v/>
      </c>
      <c r="R49" s="122" t="str">
        <f t="shared" si="31"/>
        <v>04:R19</v>
      </c>
    </row>
    <row r="50" spans="1:18">
      <c r="A50" s="120" t="s">
        <v>536</v>
      </c>
      <c r="B50" s="123" t="s">
        <v>537</v>
      </c>
      <c r="C50" s="120" t="s">
        <v>392</v>
      </c>
      <c r="D50" s="123" t="s">
        <v>482</v>
      </c>
      <c r="E50" s="120" t="str" cm="1">
        <f t="array" ref="E50">INDEX(LikelihoodValues,MAX(LEFT(RIGHT('Missing Control Risks'!D50,2),1)-1,1))</f>
        <v>Very Low (1)</v>
      </c>
      <c r="F50" s="123">
        <v>0</v>
      </c>
      <c r="G50" s="120">
        <f t="shared" ref="G50" si="34">MIN(VLOOKUP(C50,ImpactTypeRatings,2,FALSE)+F50,5)</f>
        <v>4</v>
      </c>
      <c r="H50" s="120" t="b">
        <f t="shared" ref="H50" si="35">VLOOKUP(M50,AssessedControls,5,FALSE)="Partial"</f>
        <v>0</v>
      </c>
      <c r="I50" s="120" t="str">
        <f t="shared" si="9"/>
        <v>Low</v>
      </c>
      <c r="J50" s="120" t="str">
        <f>LEFT(VLOOKUP("Impact",'Risk Matrix'!$A$23:$F$23,$G50+1,FALSE),LEN(VLOOKUP("Impact",'Risk Matrix'!$A$23:$F$23,$G50+1,FALSE))-4)</f>
        <v>Major</v>
      </c>
      <c r="K50" s="1" t="str">
        <f t="shared" si="33"/>
        <v>Medium</v>
      </c>
      <c r="L50" s="121" t="s">
        <v>281</v>
      </c>
      <c r="M50" s="4" t="s">
        <v>279</v>
      </c>
      <c r="N50" s="122" t="b">
        <f t="shared" ref="N50" si="36">OR(VLOOKUP(M50,AssessedControls,5,FALSE)="Yes",NOT(VLOOKUP(M50,AssessedControls,4,FALSE)))</f>
        <v>1</v>
      </c>
      <c r="O50" s="1">
        <f t="shared" ref="O50" si="37">VLOOKUP(CONCATENATE(K50,"-",VLOOKUP(M50,AssessedControls,7,FALSE)),ControlPriority,2,FALSE)</f>
        <v>8</v>
      </c>
      <c r="P50" s="122" t="str">
        <f t="shared" si="29"/>
        <v/>
      </c>
      <c r="Q50" s="122" t="str">
        <f t="shared" si="30"/>
        <v/>
      </c>
      <c r="R50" s="122" t="str">
        <f t="shared" ref="R50" si="38">CONCATENATE(TEXT(O50,"00"),":",A50)</f>
        <v>08:R19</v>
      </c>
    </row>
    <row r="51" spans="1:18">
      <c r="A51" s="120" t="s">
        <v>536</v>
      </c>
      <c r="B51" s="123" t="s">
        <v>537</v>
      </c>
      <c r="C51" s="120" t="s">
        <v>392</v>
      </c>
      <c r="D51" s="123" t="s">
        <v>482</v>
      </c>
      <c r="E51" s="120" t="str" cm="1">
        <f t="array" ref="E51">INDEX(LikelihoodValues,MAX(LEFT(RIGHT('Missing Control Risks'!D51,2),1)-1,1))</f>
        <v>Very Low (1)</v>
      </c>
      <c r="F51" s="123">
        <v>0</v>
      </c>
      <c r="G51" s="120">
        <f t="shared" si="32"/>
        <v>4</v>
      </c>
      <c r="H51" s="120" t="b">
        <f t="shared" si="1"/>
        <v>0</v>
      </c>
      <c r="I51" s="120" t="str">
        <f t="shared" si="9"/>
        <v>Low</v>
      </c>
      <c r="J51" s="120" t="str">
        <f>LEFT(VLOOKUP("Impact",'Risk Matrix'!$A$23:$F$23,$G51+1,FALSE),LEN(VLOOKUP("Impact",'Risk Matrix'!$A$23:$F$23,$G51+1,FALSE))-4)</f>
        <v>Major</v>
      </c>
      <c r="K51" s="1" t="str">
        <f t="shared" si="33"/>
        <v>Medium</v>
      </c>
      <c r="L51" s="121" t="s">
        <v>296</v>
      </c>
      <c r="M51" s="8" t="s">
        <v>294</v>
      </c>
      <c r="N51" s="122" t="b">
        <f t="shared" si="8"/>
        <v>1</v>
      </c>
      <c r="O51" s="1">
        <f t="shared" si="28"/>
        <v>4</v>
      </c>
      <c r="P51" s="122" t="str">
        <f t="shared" si="29"/>
        <v/>
      </c>
      <c r="Q51" s="122" t="str">
        <f t="shared" si="30"/>
        <v/>
      </c>
      <c r="R51" s="122" t="str">
        <f t="shared" si="31"/>
        <v>04:R19</v>
      </c>
    </row>
    <row r="52" spans="1:18">
      <c r="A52" s="120" t="s">
        <v>536</v>
      </c>
      <c r="B52" s="123" t="s">
        <v>537</v>
      </c>
      <c r="C52" s="120" t="s">
        <v>392</v>
      </c>
      <c r="D52" s="123" t="s">
        <v>482</v>
      </c>
      <c r="E52" s="120" t="str" cm="1">
        <f t="array" ref="E52">INDEX(LikelihoodValues,MAX(LEFT(RIGHT('Missing Control Risks'!D52,2),1)-1,1))</f>
        <v>Very Low (1)</v>
      </c>
      <c r="F52" s="123">
        <v>0</v>
      </c>
      <c r="G52" s="120">
        <f t="shared" si="32"/>
        <v>4</v>
      </c>
      <c r="H52" s="120" t="b">
        <f t="shared" si="1"/>
        <v>0</v>
      </c>
      <c r="I52" s="120" t="str">
        <f t="shared" si="9"/>
        <v>Low</v>
      </c>
      <c r="J52" s="120" t="str">
        <f>LEFT(VLOOKUP("Impact",'Risk Matrix'!$A$23:$F$23,$G52+1,FALSE),LEN(VLOOKUP("Impact",'Risk Matrix'!$A$23:$F$23,$G52+1,FALSE))-4)</f>
        <v>Major</v>
      </c>
      <c r="K52" s="1" t="str">
        <f t="shared" si="33"/>
        <v>Medium</v>
      </c>
      <c r="L52" s="121" t="s">
        <v>287</v>
      </c>
      <c r="M52" s="4" t="s">
        <v>285</v>
      </c>
      <c r="N52" s="122" t="b">
        <f t="shared" si="8"/>
        <v>1</v>
      </c>
      <c r="O52" s="1">
        <f t="shared" si="28"/>
        <v>4</v>
      </c>
      <c r="P52" s="122" t="str">
        <f t="shared" si="29"/>
        <v/>
      </c>
      <c r="Q52" s="122" t="str">
        <f t="shared" si="30"/>
        <v/>
      </c>
      <c r="R52" s="122" t="str">
        <f t="shared" si="31"/>
        <v>04:R19</v>
      </c>
    </row>
    <row r="53" spans="1:18">
      <c r="A53" s="120" t="s">
        <v>536</v>
      </c>
      <c r="B53" s="123" t="s">
        <v>537</v>
      </c>
      <c r="C53" s="120" t="s">
        <v>392</v>
      </c>
      <c r="D53" s="123" t="s">
        <v>482</v>
      </c>
      <c r="E53" s="120" t="str" cm="1">
        <f t="array" ref="E53">INDEX(LikelihoodValues,MAX(LEFT(RIGHT('Missing Control Risks'!D53,2),1)-1,1))</f>
        <v>Very Low (1)</v>
      </c>
      <c r="F53" s="123">
        <v>0</v>
      </c>
      <c r="G53" s="120">
        <f t="shared" si="32"/>
        <v>4</v>
      </c>
      <c r="H53" s="120" t="b">
        <f t="shared" si="1"/>
        <v>0</v>
      </c>
      <c r="I53" s="120" t="str">
        <f t="shared" si="9"/>
        <v>Low</v>
      </c>
      <c r="J53" s="120" t="str">
        <f>LEFT(VLOOKUP("Impact",'Risk Matrix'!$A$23:$F$23,$G53+1,FALSE),LEN(VLOOKUP("Impact",'Risk Matrix'!$A$23:$F$23,$G53+1,FALSE))-4)</f>
        <v>Major</v>
      </c>
      <c r="K53" s="1" t="str">
        <f t="shared" si="33"/>
        <v>Medium</v>
      </c>
      <c r="L53" s="121" t="s">
        <v>284</v>
      </c>
      <c r="M53" s="4" t="s">
        <v>282</v>
      </c>
      <c r="N53" s="122" t="b">
        <f t="shared" si="8"/>
        <v>1</v>
      </c>
      <c r="O53" s="1">
        <f t="shared" si="28"/>
        <v>4</v>
      </c>
      <c r="P53" s="122" t="str">
        <f t="shared" si="29"/>
        <v/>
      </c>
      <c r="Q53" s="122" t="str">
        <f t="shared" si="30"/>
        <v/>
      </c>
      <c r="R53" s="122" t="str">
        <f t="shared" si="31"/>
        <v>04:R19</v>
      </c>
    </row>
    <row r="54" spans="1:18">
      <c r="A54" s="120" t="s">
        <v>538</v>
      </c>
      <c r="B54" s="1" t="s">
        <v>539</v>
      </c>
      <c r="C54" s="120" t="s">
        <v>372</v>
      </c>
      <c r="D54" s="1" t="s">
        <v>481</v>
      </c>
      <c r="E54" s="120" t="str" cm="1">
        <f t="array" ref="E54">INDEX(LikelihoodValues,MAX(LEFT(RIGHT('Missing Control Risks'!D54,2),1)-1,1))</f>
        <v>Low (2)</v>
      </c>
      <c r="F54" s="123">
        <v>0</v>
      </c>
      <c r="G54" s="120">
        <f t="shared" si="32"/>
        <v>4</v>
      </c>
      <c r="H54" s="120" t="b">
        <f t="shared" si="1"/>
        <v>0</v>
      </c>
      <c r="I54" s="120" t="str">
        <f t="shared" si="9"/>
        <v>Medium</v>
      </c>
      <c r="J54" s="120" t="str">
        <f>LEFT(VLOOKUP("Impact",'Risk Matrix'!$A$23:$F$23,$G54+1,FALSE),LEN(VLOOKUP("Impact",'Risk Matrix'!$A$23:$F$23,$G54+1,FALSE))-4)</f>
        <v>Major</v>
      </c>
      <c r="K54" s="1" t="str">
        <f t="shared" si="33"/>
        <v>High</v>
      </c>
      <c r="L54" s="121" t="s">
        <v>224</v>
      </c>
      <c r="M54" s="4" t="s">
        <v>222</v>
      </c>
      <c r="N54" s="122" t="b">
        <f t="shared" si="8"/>
        <v>0</v>
      </c>
      <c r="O54" s="1">
        <f t="shared" si="28"/>
        <v>8</v>
      </c>
      <c r="P54" s="122" t="str">
        <f t="shared" si="29"/>
        <v/>
      </c>
      <c r="Q54" s="122" t="str">
        <f t="shared" si="30"/>
        <v/>
      </c>
      <c r="R54" s="122" t="str">
        <f t="shared" si="31"/>
        <v>08:R20</v>
      </c>
    </row>
    <row r="55" spans="1:18">
      <c r="A55" s="120" t="s">
        <v>540</v>
      </c>
      <c r="B55" s="1" t="s">
        <v>541</v>
      </c>
      <c r="C55" s="120" t="s">
        <v>372</v>
      </c>
      <c r="D55" s="1" t="s">
        <v>482</v>
      </c>
      <c r="E55" s="120" t="str" cm="1">
        <f t="array" ref="E55">INDEX(LikelihoodValues,MAX(LEFT(RIGHT('Missing Control Risks'!D55,2),1)-1,1))</f>
        <v>Very Low (1)</v>
      </c>
      <c r="F55" s="123">
        <v>0</v>
      </c>
      <c r="G55" s="120">
        <f t="shared" si="32"/>
        <v>4</v>
      </c>
      <c r="H55" s="120" t="b">
        <f t="shared" ref="H55" si="39">VLOOKUP(M55,AssessedControls,5,FALSE)="Partial"</f>
        <v>0</v>
      </c>
      <c r="I55" s="120" t="str">
        <f t="shared" si="9"/>
        <v>Low</v>
      </c>
      <c r="J55" s="120" t="str">
        <f>LEFT(VLOOKUP("Impact",'Risk Matrix'!$A$23:$F$23,$G55+1,FALSE),LEN(VLOOKUP("Impact",'Risk Matrix'!$A$23:$F$23,$G55+1,FALSE))-4)</f>
        <v>Major</v>
      </c>
      <c r="K55" s="1" t="str">
        <f t="shared" si="33"/>
        <v>Medium</v>
      </c>
      <c r="L55" s="121" t="s">
        <v>241</v>
      </c>
      <c r="M55" s="4" t="s">
        <v>239</v>
      </c>
      <c r="N55" s="122" t="b">
        <f t="shared" ref="N55" si="40">OR(VLOOKUP(M55,AssessedControls,5,FALSE)="Yes",NOT(VLOOKUP(M55,AssessedControls,4,FALSE)))</f>
        <v>1</v>
      </c>
      <c r="O55" s="1">
        <f t="shared" si="28"/>
        <v>8</v>
      </c>
      <c r="P55" s="122" t="str">
        <f t="shared" si="29"/>
        <v/>
      </c>
      <c r="Q55" s="122" t="str">
        <f t="shared" si="30"/>
        <v/>
      </c>
      <c r="R55" s="122" t="str">
        <f t="shared" si="31"/>
        <v>08:R21</v>
      </c>
    </row>
    <row r="56" spans="1:18">
      <c r="A56" s="120" t="s">
        <v>540</v>
      </c>
      <c r="B56" s="1" t="s">
        <v>541</v>
      </c>
      <c r="C56" s="120" t="s">
        <v>372</v>
      </c>
      <c r="D56" s="1" t="s">
        <v>480</v>
      </c>
      <c r="E56" s="120" t="str" cm="1">
        <f t="array" ref="E56">INDEX(LikelihoodValues,MAX(LEFT(RIGHT('Missing Control Risks'!D56,2),1)-1,1))</f>
        <v>Medium (3)</v>
      </c>
      <c r="F56" s="123">
        <v>0</v>
      </c>
      <c r="G56" s="120">
        <f t="shared" si="32"/>
        <v>4</v>
      </c>
      <c r="H56" s="120" t="b">
        <f t="shared" ref="H56" si="41">VLOOKUP(M56,AssessedControls,5,FALSE)="Partial"</f>
        <v>0</v>
      </c>
      <c r="I56" s="120" t="str">
        <f t="shared" si="9"/>
        <v>High</v>
      </c>
      <c r="J56" s="120" t="str">
        <f>LEFT(VLOOKUP("Impact",'Risk Matrix'!$A$23:$F$23,$G56+1,FALSE),LEN(VLOOKUP("Impact",'Risk Matrix'!$A$23:$F$23,$G56+1,FALSE))-4)</f>
        <v>Major</v>
      </c>
      <c r="K56" s="1" t="str">
        <f t="shared" si="33"/>
        <v>High</v>
      </c>
      <c r="L56" s="121" t="s">
        <v>238</v>
      </c>
      <c r="M56" s="4" t="s">
        <v>235</v>
      </c>
      <c r="N56" s="122" t="b">
        <f t="shared" ref="N56" si="42">OR(VLOOKUP(M56,AssessedControls,5,FALSE)="Yes",NOT(VLOOKUP(M56,AssessedControls,4,FALSE)))</f>
        <v>1</v>
      </c>
      <c r="O56" s="1">
        <f t="shared" si="28"/>
        <v>16</v>
      </c>
      <c r="P56" s="122" t="str">
        <f t="shared" si="29"/>
        <v/>
      </c>
      <c r="Q56" s="122" t="str">
        <f t="shared" si="30"/>
        <v/>
      </c>
      <c r="R56" s="122" t="str">
        <f t="shared" si="31"/>
        <v>16:R21</v>
      </c>
    </row>
    <row r="57" spans="1:18">
      <c r="A57" s="120" t="s">
        <v>542</v>
      </c>
      <c r="B57" s="1" t="s">
        <v>543</v>
      </c>
      <c r="C57" s="120" t="s">
        <v>398</v>
      </c>
      <c r="D57" s="1" t="s">
        <v>481</v>
      </c>
      <c r="E57" s="120" t="str" cm="1">
        <f t="array" ref="E57">INDEX(LikelihoodValues,MAX(LEFT(RIGHT('Missing Control Risks'!D57,2),1)-1,1))</f>
        <v>Low (2)</v>
      </c>
      <c r="F57" s="123">
        <v>0</v>
      </c>
      <c r="G57" s="120">
        <f t="shared" si="32"/>
        <v>4</v>
      </c>
      <c r="H57" s="120" t="b">
        <f t="shared" ref="H57" si="43">VLOOKUP(M57,AssessedControls,5,FALSE)="Partial"</f>
        <v>0</v>
      </c>
      <c r="I57" s="120" t="str">
        <f t="shared" si="9"/>
        <v>Medium</v>
      </c>
      <c r="J57" s="120" t="str">
        <f>LEFT(VLOOKUP("Impact",'Risk Matrix'!$A$23:$F$23,$G57+1,FALSE),LEN(VLOOKUP("Impact",'Risk Matrix'!$A$23:$F$23,$G57+1,FALSE))-4)</f>
        <v>Major</v>
      </c>
      <c r="K57" s="1" t="str">
        <f t="shared" si="33"/>
        <v>High</v>
      </c>
      <c r="L57" s="121" t="s">
        <v>247</v>
      </c>
      <c r="M57" s="4" t="s">
        <v>245</v>
      </c>
      <c r="N57" s="122" t="b">
        <f t="shared" ref="N57" si="44">OR(VLOOKUP(M57,AssessedControls,5,FALSE)="Yes",NOT(VLOOKUP(M57,AssessedControls,4,FALSE)))</f>
        <v>1</v>
      </c>
      <c r="O57" s="1">
        <f t="shared" si="28"/>
        <v>16</v>
      </c>
      <c r="P57" s="122" t="str">
        <f t="shared" si="29"/>
        <v/>
      </c>
      <c r="Q57" s="122" t="str">
        <f t="shared" si="30"/>
        <v/>
      </c>
      <c r="R57" s="122" t="str">
        <f t="shared" si="31"/>
        <v>16:R22</v>
      </c>
    </row>
    <row r="58" spans="1:18">
      <c r="A58" s="120" t="s">
        <v>544</v>
      </c>
      <c r="B58" s="1" t="s">
        <v>545</v>
      </c>
      <c r="C58" s="120" t="s">
        <v>398</v>
      </c>
      <c r="D58" s="1" t="s">
        <v>482</v>
      </c>
      <c r="E58" s="120" t="str" cm="1">
        <f t="array" ref="E58">INDEX(LikelihoodValues,MAX(LEFT(RIGHT('Missing Control Risks'!D58,2),1)-1,1))</f>
        <v>Very Low (1)</v>
      </c>
      <c r="F58" s="123">
        <v>0</v>
      </c>
      <c r="G58" s="120">
        <f t="shared" si="32"/>
        <v>4</v>
      </c>
      <c r="H58" s="120" t="b">
        <f t="shared" ref="H58" si="45">VLOOKUP(M58,AssessedControls,5,FALSE)="Partial"</f>
        <v>0</v>
      </c>
      <c r="I58" s="120" t="str">
        <f t="shared" si="9"/>
        <v>Low</v>
      </c>
      <c r="J58" s="120" t="str">
        <f>LEFT(VLOOKUP("Impact",'Risk Matrix'!$A$23:$F$23,$G58+1,FALSE),LEN(VLOOKUP("Impact",'Risk Matrix'!$A$23:$F$23,$G58+1,FALSE))-4)</f>
        <v>Major</v>
      </c>
      <c r="K58" s="1" t="str">
        <f t="shared" si="33"/>
        <v>Medium</v>
      </c>
      <c r="L58" s="121" t="s">
        <v>250</v>
      </c>
      <c r="M58" s="4" t="s">
        <v>248</v>
      </c>
      <c r="N58" s="122" t="b">
        <f t="shared" ref="N58" si="46">OR(VLOOKUP(M58,AssessedControls,5,FALSE)="Yes",NOT(VLOOKUP(M58,AssessedControls,4,FALSE)))</f>
        <v>1</v>
      </c>
      <c r="O58" s="1">
        <f t="shared" si="28"/>
        <v>8</v>
      </c>
      <c r="P58" s="122" t="str">
        <f t="shared" si="29"/>
        <v/>
      </c>
      <c r="Q58" s="122" t="str">
        <f t="shared" si="30"/>
        <v/>
      </c>
      <c r="R58" s="122" t="str">
        <f t="shared" si="31"/>
        <v>08:R23</v>
      </c>
    </row>
    <row r="59" spans="1:18">
      <c r="A59" s="120" t="s">
        <v>546</v>
      </c>
      <c r="B59" s="1" t="s">
        <v>547</v>
      </c>
      <c r="C59" s="120" t="s">
        <v>398</v>
      </c>
      <c r="D59" s="1" t="s">
        <v>483</v>
      </c>
      <c r="E59" s="120" t="str" cm="1">
        <f t="array" ref="E59">INDEX(LikelihoodValues,MAX(LEFT(RIGHT('Missing Control Risks'!D59,2),1)-1,1))</f>
        <v>Very Low (1)</v>
      </c>
      <c r="F59" s="123">
        <v>0</v>
      </c>
      <c r="G59" s="120">
        <f t="shared" si="32"/>
        <v>4</v>
      </c>
      <c r="H59" s="120" t="b">
        <f t="shared" ref="H59" si="47">VLOOKUP(M59,AssessedControls,5,FALSE)="Partial"</f>
        <v>0</v>
      </c>
      <c r="I59" s="120" t="str">
        <f t="shared" si="9"/>
        <v>Very Low</v>
      </c>
      <c r="J59" s="120" t="str">
        <f>LEFT(VLOOKUP("Impact",'Risk Matrix'!$A$23:$F$23,$G59+1,FALSE),LEN(VLOOKUP("Impact",'Risk Matrix'!$A$23:$F$23,$G59+1,FALSE))-4)</f>
        <v>Major</v>
      </c>
      <c r="K59" s="1" t="str">
        <f t="shared" si="33"/>
        <v>Medium</v>
      </c>
      <c r="L59" s="121" t="s">
        <v>253</v>
      </c>
      <c r="M59" s="4" t="s">
        <v>251</v>
      </c>
      <c r="N59" s="122" t="b">
        <f t="shared" ref="N59" si="48">OR(VLOOKUP(M59,AssessedControls,5,FALSE)="Yes",NOT(VLOOKUP(M59,AssessedControls,4,FALSE)))</f>
        <v>1</v>
      </c>
      <c r="O59" s="1">
        <f t="shared" si="28"/>
        <v>8</v>
      </c>
      <c r="P59" s="122" t="str">
        <f t="shared" si="29"/>
        <v/>
      </c>
      <c r="Q59" s="122" t="str">
        <f t="shared" si="30"/>
        <v/>
      </c>
      <c r="R59" s="122" t="str">
        <f t="shared" si="31"/>
        <v>08:R24</v>
      </c>
    </row>
    <row r="60" spans="1:18">
      <c r="A60" s="120" t="s">
        <v>546</v>
      </c>
      <c r="B60" s="1" t="s">
        <v>547</v>
      </c>
      <c r="C60" s="120" t="s">
        <v>398</v>
      </c>
      <c r="D60" s="1" t="s">
        <v>481</v>
      </c>
      <c r="E60" s="120" t="str" cm="1">
        <f t="array" ref="E60">INDEX(LikelihoodValues,MAX(LEFT(RIGHT('Missing Control Risks'!D60,2),1)-1,1))</f>
        <v>Low (2)</v>
      </c>
      <c r="F60" s="123">
        <v>0</v>
      </c>
      <c r="G60" s="120">
        <f t="shared" si="32"/>
        <v>4</v>
      </c>
      <c r="H60" s="120" t="b">
        <f t="shared" ref="H60" si="49">VLOOKUP(M60,AssessedControls,5,FALSE)="Partial"</f>
        <v>0</v>
      </c>
      <c r="I60" s="120" t="str">
        <f t="shared" si="9"/>
        <v>Medium</v>
      </c>
      <c r="J60" s="120" t="str">
        <f>LEFT(VLOOKUP("Impact",'Risk Matrix'!$A$23:$F$23,$G60+1,FALSE),LEN(VLOOKUP("Impact",'Risk Matrix'!$A$23:$F$23,$G60+1,FALSE))-4)</f>
        <v>Major</v>
      </c>
      <c r="K60" s="1" t="str">
        <f t="shared" si="33"/>
        <v>High</v>
      </c>
      <c r="L60" s="121" t="s">
        <v>256</v>
      </c>
      <c r="M60" s="4" t="s">
        <v>254</v>
      </c>
      <c r="N60" s="122" t="b">
        <f t="shared" ref="N60" si="50">OR(VLOOKUP(M60,AssessedControls,5,FALSE)="Yes",NOT(VLOOKUP(M60,AssessedControls,4,FALSE)))</f>
        <v>1</v>
      </c>
      <c r="O60" s="1">
        <f t="shared" si="28"/>
        <v>4</v>
      </c>
      <c r="P60" s="122" t="str">
        <f t="shared" si="29"/>
        <v/>
      </c>
      <c r="Q60" s="122" t="str">
        <f t="shared" si="30"/>
        <v/>
      </c>
      <c r="R60" s="122" t="str">
        <f t="shared" si="31"/>
        <v>04:R24</v>
      </c>
    </row>
    <row r="61" spans="1:18" ht="28.8">
      <c r="A61" s="120" t="s">
        <v>548</v>
      </c>
      <c r="B61" s="123" t="s">
        <v>549</v>
      </c>
      <c r="C61" s="120" t="s">
        <v>125</v>
      </c>
      <c r="D61" s="123" t="s">
        <v>480</v>
      </c>
      <c r="E61" s="120" t="str" cm="1">
        <f t="array" ref="E61">INDEX(LikelihoodValues,MAX(LEFT(RIGHT('Missing Control Risks'!D61,2),1)-1,1))</f>
        <v>Medium (3)</v>
      </c>
      <c r="F61" s="123">
        <v>0</v>
      </c>
      <c r="G61" s="120">
        <f t="shared" si="32"/>
        <v>3</v>
      </c>
      <c r="H61" s="120" t="b">
        <f t="shared" si="1"/>
        <v>0</v>
      </c>
      <c r="I61" s="120" t="str">
        <f t="shared" si="9"/>
        <v>High</v>
      </c>
      <c r="J61" s="120" t="str">
        <f>LEFT(VLOOKUP("Impact",'Risk Matrix'!$A$23:$F$23,$G61+1,FALSE),LEN(VLOOKUP("Impact",'Risk Matrix'!$A$23:$F$23,$G61+1,FALSE))-4)</f>
        <v>Moderate</v>
      </c>
      <c r="K61" s="1" t="str">
        <f t="shared" si="33"/>
        <v>High</v>
      </c>
      <c r="L61" s="121" t="s">
        <v>266</v>
      </c>
      <c r="M61" s="8" t="s">
        <v>264</v>
      </c>
      <c r="N61" s="122" t="b">
        <f t="shared" si="8"/>
        <v>0</v>
      </c>
      <c r="O61" s="1">
        <f t="shared" si="28"/>
        <v>16</v>
      </c>
      <c r="P61" s="122" t="str">
        <f t="shared" si="29"/>
        <v/>
      </c>
      <c r="Q61" s="122" t="str">
        <f t="shared" si="30"/>
        <v/>
      </c>
      <c r="R61" s="122" t="str">
        <f t="shared" si="31"/>
        <v>16:R25</v>
      </c>
    </row>
    <row r="62" spans="1:18" ht="28.8">
      <c r="A62" s="120" t="s">
        <v>548</v>
      </c>
      <c r="B62" s="123" t="s">
        <v>549</v>
      </c>
      <c r="C62" s="120" t="s">
        <v>125</v>
      </c>
      <c r="D62" s="123" t="s">
        <v>480</v>
      </c>
      <c r="E62" s="120" t="str" cm="1">
        <f t="array" ref="E62">INDEX(LikelihoodValues,MAX(LEFT(RIGHT('Missing Control Risks'!D62,2),1)-1,1))</f>
        <v>Medium (3)</v>
      </c>
      <c r="F62" s="123">
        <v>0</v>
      </c>
      <c r="G62" s="120">
        <f t="shared" si="32"/>
        <v>3</v>
      </c>
      <c r="H62" s="120" t="b">
        <f t="shared" si="1"/>
        <v>0</v>
      </c>
      <c r="I62" s="120" t="str">
        <f t="shared" si="9"/>
        <v>High</v>
      </c>
      <c r="J62" s="120" t="str">
        <f>LEFT(VLOOKUP("Impact",'Risk Matrix'!$A$23:$F$23,$G62+1,FALSE),LEN(VLOOKUP("Impact",'Risk Matrix'!$A$23:$F$23,$G62+1,FALSE))-4)</f>
        <v>Moderate</v>
      </c>
      <c r="K62" s="1" t="str">
        <f t="shared" si="33"/>
        <v>High</v>
      </c>
      <c r="L62" s="121" t="s">
        <v>263</v>
      </c>
      <c r="M62" s="4" t="s">
        <v>261</v>
      </c>
      <c r="N62" s="122" t="b">
        <f t="shared" si="8"/>
        <v>0</v>
      </c>
      <c r="O62" s="1">
        <f t="shared" si="28"/>
        <v>16</v>
      </c>
      <c r="P62" s="122" t="str">
        <f t="shared" si="29"/>
        <v/>
      </c>
      <c r="Q62" s="122" t="str">
        <f t="shared" si="30"/>
        <v/>
      </c>
      <c r="R62" s="122" t="str">
        <f t="shared" si="31"/>
        <v>16:R25</v>
      </c>
    </row>
    <row r="63" spans="1:18" ht="28.8">
      <c r="A63" s="120" t="s">
        <v>548</v>
      </c>
      <c r="B63" s="123" t="s">
        <v>549</v>
      </c>
      <c r="C63" s="120" t="s">
        <v>125</v>
      </c>
      <c r="D63" s="123" t="s">
        <v>480</v>
      </c>
      <c r="E63" s="120" t="str" cm="1">
        <f t="array" ref="E63">INDEX(LikelihoodValues,MAX(LEFT(RIGHT('Missing Control Risks'!D63,2),1)-1,1))</f>
        <v>Medium (3)</v>
      </c>
      <c r="F63" s="123">
        <v>0</v>
      </c>
      <c r="G63" s="120">
        <f t="shared" si="32"/>
        <v>3</v>
      </c>
      <c r="H63" s="120" t="b">
        <f t="shared" si="1"/>
        <v>0</v>
      </c>
      <c r="I63" s="120" t="str">
        <f t="shared" si="9"/>
        <v>High</v>
      </c>
      <c r="J63" s="120" t="str">
        <f>LEFT(VLOOKUP("Impact",'Risk Matrix'!$A$23:$F$23,$G63+1,FALSE),LEN(VLOOKUP("Impact",'Risk Matrix'!$A$23:$F$23,$G63+1,FALSE))-4)</f>
        <v>Moderate</v>
      </c>
      <c r="K63" s="1" t="str">
        <f t="shared" si="33"/>
        <v>High</v>
      </c>
      <c r="L63" s="121" t="s">
        <v>260</v>
      </c>
      <c r="M63" s="10" t="s">
        <v>258</v>
      </c>
      <c r="N63" s="122" t="b">
        <f t="shared" si="8"/>
        <v>1</v>
      </c>
      <c r="O63" s="1">
        <f t="shared" si="28"/>
        <v>8</v>
      </c>
      <c r="P63" s="122" t="str">
        <f t="shared" si="29"/>
        <v/>
      </c>
      <c r="Q63" s="122" t="str">
        <f t="shared" si="30"/>
        <v/>
      </c>
      <c r="R63" s="122" t="str">
        <f t="shared" si="31"/>
        <v>08:R25</v>
      </c>
    </row>
    <row r="64" spans="1:18" ht="28.8">
      <c r="A64" s="120" t="s">
        <v>550</v>
      </c>
      <c r="B64" s="123" t="s">
        <v>551</v>
      </c>
      <c r="C64" s="120" t="s">
        <v>125</v>
      </c>
      <c r="D64" s="123" t="s">
        <v>481</v>
      </c>
      <c r="E64" s="120" t="str" cm="1">
        <f t="array" ref="E64">INDEX(LikelihoodValues,MAX(LEFT(RIGHT('Missing Control Risks'!D64,2),1)-1,1))</f>
        <v>Low (2)</v>
      </c>
      <c r="F64" s="123">
        <v>0</v>
      </c>
      <c r="G64" s="120">
        <f t="shared" si="32"/>
        <v>3</v>
      </c>
      <c r="H64" s="120" t="b">
        <f t="shared" si="1"/>
        <v>0</v>
      </c>
      <c r="I64" s="120" t="str">
        <f t="shared" si="9"/>
        <v>Medium</v>
      </c>
      <c r="J64" s="120" t="str">
        <f>LEFT(VLOOKUP("Impact",'Risk Matrix'!$A$23:$F$23,$G64+1,FALSE),LEN(VLOOKUP("Impact",'Risk Matrix'!$A$23:$F$23,$G64+1,FALSE))-4)</f>
        <v>Moderate</v>
      </c>
      <c r="K64" s="1" t="str">
        <f t="shared" si="33"/>
        <v>Medium</v>
      </c>
      <c r="L64" s="121" t="s">
        <v>269</v>
      </c>
      <c r="M64" s="8" t="s">
        <v>267</v>
      </c>
      <c r="N64" s="122" t="b">
        <f t="shared" si="8"/>
        <v>1</v>
      </c>
      <c r="O64" s="1">
        <f t="shared" si="28"/>
        <v>4</v>
      </c>
      <c r="P64" s="122" t="str">
        <f t="shared" si="29"/>
        <v/>
      </c>
      <c r="Q64" s="122" t="str">
        <f t="shared" si="30"/>
        <v/>
      </c>
      <c r="R64" s="122" t="str">
        <f t="shared" si="31"/>
        <v>04:R26</v>
      </c>
    </row>
    <row r="65" spans="1:18" ht="28.8">
      <c r="A65" s="120" t="s">
        <v>552</v>
      </c>
      <c r="B65" s="123" t="s">
        <v>553</v>
      </c>
      <c r="C65" s="120" t="s">
        <v>125</v>
      </c>
      <c r="D65" s="123" t="s">
        <v>480</v>
      </c>
      <c r="E65" s="120" t="str" cm="1">
        <f t="array" ref="E65">INDEX(LikelihoodValues,MAX(LEFT(RIGHT('Missing Control Risks'!D65,2),1)-1,1))</f>
        <v>Medium (3)</v>
      </c>
      <c r="F65" s="123">
        <v>0</v>
      </c>
      <c r="G65" s="120">
        <f t="shared" si="32"/>
        <v>3</v>
      </c>
      <c r="H65" s="120" t="b">
        <f t="shared" ref="H65" si="51">VLOOKUP(M65,AssessedControls,5,FALSE)="Partial"</f>
        <v>0</v>
      </c>
      <c r="I65" s="120" t="str">
        <f t="shared" si="9"/>
        <v>High</v>
      </c>
      <c r="J65" s="120" t="str">
        <f>LEFT(VLOOKUP("Impact",'Risk Matrix'!$A$23:$F$23,$G65+1,FALSE),LEN(VLOOKUP("Impact",'Risk Matrix'!$A$23:$F$23,$G65+1,FALSE))-4)</f>
        <v>Moderate</v>
      </c>
      <c r="K65" s="1" t="str">
        <f t="shared" si="33"/>
        <v>High</v>
      </c>
      <c r="L65" s="121" t="s">
        <v>140</v>
      </c>
      <c r="M65" s="8" t="s">
        <v>138</v>
      </c>
      <c r="N65" s="122" t="b">
        <f t="shared" ref="N65" si="52">OR(VLOOKUP(M65,AssessedControls,5,FALSE)="Yes",NOT(VLOOKUP(M65,AssessedControls,4,FALSE)))</f>
        <v>1</v>
      </c>
      <c r="O65" s="1">
        <f t="shared" si="28"/>
        <v>8</v>
      </c>
      <c r="P65" s="122" t="str">
        <f t="shared" si="29"/>
        <v/>
      </c>
      <c r="Q65" s="122" t="str">
        <f t="shared" si="30"/>
        <v/>
      </c>
      <c r="R65" s="122" t="str">
        <f t="shared" si="31"/>
        <v>08:R27</v>
      </c>
    </row>
    <row r="66" spans="1:18" ht="28.8">
      <c r="A66" s="120" t="s">
        <v>552</v>
      </c>
      <c r="B66" s="123" t="s">
        <v>553</v>
      </c>
      <c r="C66" s="120" t="s">
        <v>125</v>
      </c>
      <c r="D66" s="123" t="s">
        <v>480</v>
      </c>
      <c r="E66" s="120" t="str" cm="1">
        <f t="array" ref="E66">INDEX(LikelihoodValues,MAX(LEFT(RIGHT('Missing Control Risks'!D66,2),1)-1,1))</f>
        <v>Medium (3)</v>
      </c>
      <c r="F66" s="123">
        <v>0</v>
      </c>
      <c r="G66" s="120">
        <f t="shared" si="32"/>
        <v>3</v>
      </c>
      <c r="H66" s="120" t="b">
        <f t="shared" si="1"/>
        <v>0</v>
      </c>
      <c r="I66" s="120" t="str">
        <f t="shared" si="9"/>
        <v>High</v>
      </c>
      <c r="J66" s="120" t="str">
        <f>LEFT(VLOOKUP("Impact",'Risk Matrix'!$A$23:$F$23,$G66+1,FALSE),LEN(VLOOKUP("Impact",'Risk Matrix'!$A$23:$F$23,$G66+1,FALSE))-4)</f>
        <v>Moderate</v>
      </c>
      <c r="K66" s="1" t="str">
        <f t="shared" si="33"/>
        <v>High</v>
      </c>
      <c r="L66" s="121" t="s">
        <v>146</v>
      </c>
      <c r="M66" s="8" t="s">
        <v>144</v>
      </c>
      <c r="N66" s="122" t="b">
        <f t="shared" si="8"/>
        <v>1</v>
      </c>
      <c r="O66" s="1">
        <f t="shared" si="28"/>
        <v>4</v>
      </c>
      <c r="P66" s="122" t="str">
        <f t="shared" si="29"/>
        <v/>
      </c>
      <c r="Q66" s="122" t="str">
        <f t="shared" si="30"/>
        <v/>
      </c>
      <c r="R66" s="122" t="str">
        <f t="shared" si="31"/>
        <v>04:R27</v>
      </c>
    </row>
    <row r="67" spans="1:18" ht="28.8">
      <c r="A67" s="120" t="s">
        <v>552</v>
      </c>
      <c r="B67" s="123" t="s">
        <v>553</v>
      </c>
      <c r="C67" s="120" t="s">
        <v>125</v>
      </c>
      <c r="D67" s="123" t="s">
        <v>480</v>
      </c>
      <c r="E67" s="120" t="str" cm="1">
        <f t="array" ref="E67">INDEX(LikelihoodValues,MAX(LEFT(RIGHT('Missing Control Risks'!D67,2),1)-1,1))</f>
        <v>Medium (3)</v>
      </c>
      <c r="F67" s="123">
        <v>0</v>
      </c>
      <c r="G67" s="120">
        <f t="shared" si="32"/>
        <v>3</v>
      </c>
      <c r="H67" s="120" t="b">
        <f t="shared" si="1"/>
        <v>0</v>
      </c>
      <c r="I67" s="120" t="str">
        <f t="shared" si="9"/>
        <v>High</v>
      </c>
      <c r="J67" s="120" t="str">
        <f>LEFT(VLOOKUP("Impact",'Risk Matrix'!$A$23:$F$23,$G67+1,FALSE),LEN(VLOOKUP("Impact",'Risk Matrix'!$A$23:$F$23,$G67+1,FALSE))-4)</f>
        <v>Moderate</v>
      </c>
      <c r="K67" s="1" t="str">
        <f t="shared" si="33"/>
        <v>High</v>
      </c>
      <c r="L67" s="121" t="s">
        <v>143</v>
      </c>
      <c r="M67" s="8" t="s">
        <v>141</v>
      </c>
      <c r="N67" s="122" t="b">
        <f t="shared" si="8"/>
        <v>1</v>
      </c>
      <c r="O67" s="1">
        <f t="shared" si="28"/>
        <v>4</v>
      </c>
      <c r="P67" s="122" t="str">
        <f t="shared" si="29"/>
        <v/>
      </c>
      <c r="Q67" s="122" t="str">
        <f t="shared" si="30"/>
        <v/>
      </c>
      <c r="R67" s="122" t="str">
        <f t="shared" si="31"/>
        <v>04:R27</v>
      </c>
    </row>
    <row r="68" spans="1:18" ht="28.8">
      <c r="A68" s="120" t="s">
        <v>552</v>
      </c>
      <c r="B68" s="123" t="s">
        <v>553</v>
      </c>
      <c r="C68" s="120" t="s">
        <v>125</v>
      </c>
      <c r="D68" s="123" t="s">
        <v>482</v>
      </c>
      <c r="E68" s="120" t="str" cm="1">
        <f t="array" ref="E68">INDEX(LikelihoodValues,MAX(LEFT(RIGHT('Missing Control Risks'!D68,2),1)-1,1))</f>
        <v>Very Low (1)</v>
      </c>
      <c r="F68" s="123">
        <v>0</v>
      </c>
      <c r="G68" s="120">
        <f t="shared" si="32"/>
        <v>3</v>
      </c>
      <c r="H68" s="120" t="b">
        <f t="shared" si="1"/>
        <v>0</v>
      </c>
      <c r="I68" s="120" t="str">
        <f t="shared" si="9"/>
        <v>Low</v>
      </c>
      <c r="J68" s="120" t="str">
        <f>LEFT(VLOOKUP("Impact",'Risk Matrix'!$A$23:$F$23,$G68+1,FALSE),LEN(VLOOKUP("Impact",'Risk Matrix'!$A$23:$F$23,$G68+1,FALSE))-4)</f>
        <v>Moderate</v>
      </c>
      <c r="K68" s="1" t="str">
        <f t="shared" si="33"/>
        <v>Medium</v>
      </c>
      <c r="L68" s="121" t="s">
        <v>134</v>
      </c>
      <c r="M68" s="8" t="s">
        <v>132</v>
      </c>
      <c r="N68" s="122" t="b">
        <f t="shared" si="8"/>
        <v>1</v>
      </c>
      <c r="O68" s="1">
        <f t="shared" si="28"/>
        <v>4</v>
      </c>
      <c r="P68" s="122" t="str">
        <f t="shared" si="29"/>
        <v/>
      </c>
      <c r="Q68" s="122" t="str">
        <f t="shared" si="30"/>
        <v/>
      </c>
      <c r="R68" s="122" t="str">
        <f t="shared" si="31"/>
        <v>04:R27</v>
      </c>
    </row>
    <row r="69" spans="1:18" ht="28.8">
      <c r="A69" s="120" t="s">
        <v>552</v>
      </c>
      <c r="B69" s="123" t="s">
        <v>553</v>
      </c>
      <c r="C69" s="120" t="s">
        <v>125</v>
      </c>
      <c r="D69" s="123" t="s">
        <v>482</v>
      </c>
      <c r="E69" s="120" t="str" cm="1">
        <f t="array" ref="E69">INDEX(LikelihoodValues,MAX(LEFT(RIGHT('Missing Control Risks'!D69,2),1)-1,1))</f>
        <v>Very Low (1)</v>
      </c>
      <c r="F69" s="123">
        <v>0</v>
      </c>
      <c r="G69" s="120">
        <f t="shared" si="32"/>
        <v>3</v>
      </c>
      <c r="H69" s="120" t="e">
        <f t="shared" si="1"/>
        <v>#N/A</v>
      </c>
      <c r="I69" s="120" t="e">
        <f t="shared" si="9"/>
        <v>#N/A</v>
      </c>
      <c r="J69" s="120" t="str">
        <f>LEFT(VLOOKUP("Impact",'Risk Matrix'!$A$23:$F$23,$G69+1,FALSE),LEN(VLOOKUP("Impact",'Risk Matrix'!$A$23:$F$23,$G69+1,FALSE))-4)</f>
        <v>Moderate</v>
      </c>
      <c r="K69" s="1" t="e">
        <f t="shared" si="33"/>
        <v>#N/A</v>
      </c>
      <c r="L69" s="121" t="s">
        <v>131</v>
      </c>
      <c r="M69" s="8" t="s">
        <v>554</v>
      </c>
      <c r="N69" s="122" t="e">
        <f t="shared" si="8"/>
        <v>#N/A</v>
      </c>
      <c r="O69" s="1" t="e">
        <f t="shared" ref="O69:O82" si="53">VLOOKUP(CONCATENATE(K69,"-",VLOOKUP(M69,AssessedControls,7,FALSE)),ControlPriority,2,FALSE)</f>
        <v>#N/A</v>
      </c>
      <c r="P69" s="122" t="e">
        <f t="shared" ref="P69:P87" si="54">IF(VLOOKUP($M69,AssessedControls,8,FALSE)=0,"",VLOOKUP($M69,AssessedControls,8,FALSE))</f>
        <v>#N/A</v>
      </c>
      <c r="Q69" s="122" t="e">
        <f t="shared" ref="Q69:Q87" si="55">IF(VLOOKUP($M69,AssessedControls,9,FALSE)=0,"",VLOOKUP($M69,AssessedControls,9,FALSE))</f>
        <v>#N/A</v>
      </c>
      <c r="R69" s="122" t="e">
        <f t="shared" ref="R69:R80" si="56">CONCATENATE(TEXT(O69,"00"),":",A69)</f>
        <v>#N/A</v>
      </c>
    </row>
    <row r="70" spans="1:18">
      <c r="A70" s="120" t="s">
        <v>555</v>
      </c>
      <c r="B70" s="123" t="s">
        <v>556</v>
      </c>
      <c r="C70" s="120" t="s">
        <v>125</v>
      </c>
      <c r="D70" s="123" t="s">
        <v>482</v>
      </c>
      <c r="E70" s="120" t="str" cm="1">
        <f t="array" ref="E70">INDEX(LikelihoodValues,MAX(LEFT(RIGHT('Missing Control Risks'!D70,2),1)-1,1))</f>
        <v>Very Low (1)</v>
      </c>
      <c r="F70" s="123">
        <v>0</v>
      </c>
      <c r="G70" s="120">
        <f t="shared" ref="G70:G82" si="57">MIN(VLOOKUP(C70,ImpactTypeRatings,2,FALSE)+F70,5)</f>
        <v>3</v>
      </c>
      <c r="H70" s="120" t="b">
        <f t="shared" si="1"/>
        <v>0</v>
      </c>
      <c r="I70" s="120" t="str">
        <f t="shared" si="9"/>
        <v>Low</v>
      </c>
      <c r="J70" s="120" t="str">
        <f>LEFT(VLOOKUP("Impact",'Risk Matrix'!$A$23:$F$23,$G70+1,FALSE),LEN(VLOOKUP("Impact",'Risk Matrix'!$A$23:$F$23,$G70+1,FALSE))-4)</f>
        <v>Moderate</v>
      </c>
      <c r="K70" s="1" t="str">
        <f t="shared" si="33"/>
        <v>Medium</v>
      </c>
      <c r="L70" s="121" t="s">
        <v>137</v>
      </c>
      <c r="M70" s="4" t="s">
        <v>135</v>
      </c>
      <c r="N70" s="122" t="b">
        <f t="shared" si="8"/>
        <v>1</v>
      </c>
      <c r="O70" s="1">
        <f t="shared" si="53"/>
        <v>2</v>
      </c>
      <c r="P70" s="122" t="str">
        <f t="shared" si="54"/>
        <v/>
      </c>
      <c r="Q70" s="122" t="str">
        <f t="shared" si="55"/>
        <v/>
      </c>
      <c r="R70" s="122" t="str">
        <f t="shared" si="56"/>
        <v>02:R28</v>
      </c>
    </row>
    <row r="71" spans="1:18" ht="28.8">
      <c r="A71" s="120" t="s">
        <v>557</v>
      </c>
      <c r="B71" s="123" t="s">
        <v>558</v>
      </c>
      <c r="C71" s="120" t="s">
        <v>125</v>
      </c>
      <c r="D71" s="123" t="s">
        <v>481</v>
      </c>
      <c r="E71" s="120" t="str" cm="1">
        <f t="array" ref="E71">INDEX(LikelihoodValues,MAX(LEFT(RIGHT('Missing Control Risks'!D71,2),1)-1,1))</f>
        <v>Low (2)</v>
      </c>
      <c r="F71" s="123">
        <v>0</v>
      </c>
      <c r="G71" s="120">
        <f t="shared" si="57"/>
        <v>3</v>
      </c>
      <c r="H71" s="120" t="b">
        <f t="shared" si="1"/>
        <v>0</v>
      </c>
      <c r="I71" s="120" t="str">
        <f t="shared" ref="I71:I87" si="58">LEFT(IF($H71,$E71,$D71),LEN(IF($H71,$E71,$D71))-4)</f>
        <v>Medium</v>
      </c>
      <c r="J71" s="120" t="str">
        <f>LEFT(VLOOKUP("Impact",'Risk Matrix'!$A$23:$F$23,$G71+1,FALSE),LEN(VLOOKUP("Impact",'Risk Matrix'!$A$23:$F$23,$G71+1,FALSE))-4)</f>
        <v>Moderate</v>
      </c>
      <c r="K71" s="1" t="str">
        <f t="shared" ref="K71:K87" si="59">IF($H71,VLOOKUP($E71,Risk_Rows,$G71+1,FALSE),VLOOKUP($D71,Risk_Rows,$G71+1,FALSE))</f>
        <v>Medium</v>
      </c>
      <c r="L71" s="121" t="s">
        <v>128</v>
      </c>
      <c r="M71" s="4" t="s">
        <v>126</v>
      </c>
      <c r="N71" s="122" t="b">
        <f t="shared" si="8"/>
        <v>1</v>
      </c>
      <c r="O71" s="1">
        <f t="shared" si="53"/>
        <v>4</v>
      </c>
      <c r="P71" s="122" t="str">
        <f t="shared" si="54"/>
        <v/>
      </c>
      <c r="Q71" s="122" t="str">
        <f t="shared" si="55"/>
        <v/>
      </c>
      <c r="R71" s="122" t="str">
        <f t="shared" si="56"/>
        <v>04:R29</v>
      </c>
    </row>
    <row r="72" spans="1:18" ht="28.8">
      <c r="A72" s="120" t="s">
        <v>559</v>
      </c>
      <c r="B72" s="123" t="s">
        <v>560</v>
      </c>
      <c r="C72" s="120" t="s">
        <v>125</v>
      </c>
      <c r="D72" s="123" t="s">
        <v>483</v>
      </c>
      <c r="E72" s="120" t="str" cm="1">
        <f t="array" ref="E72">INDEX(LikelihoodValues,MAX(LEFT(RIGHT('Missing Control Risks'!D72,2),1)-1,1))</f>
        <v>Very Low (1)</v>
      </c>
      <c r="F72" s="123">
        <v>1</v>
      </c>
      <c r="G72" s="120">
        <f t="shared" si="57"/>
        <v>4</v>
      </c>
      <c r="H72" s="120" t="b">
        <f t="shared" si="1"/>
        <v>0</v>
      </c>
      <c r="I72" s="120" t="str">
        <f t="shared" si="58"/>
        <v>Very Low</v>
      </c>
      <c r="J72" s="120" t="str">
        <f>LEFT(VLOOKUP("Impact",'Risk Matrix'!$A$23:$F$23,$G72+1,FALSE),LEN(VLOOKUP("Impact",'Risk Matrix'!$A$23:$F$23,$G72+1,FALSE))-4)</f>
        <v>Major</v>
      </c>
      <c r="K72" s="1" t="str">
        <f t="shared" si="59"/>
        <v>Medium</v>
      </c>
      <c r="L72" s="121" t="s">
        <v>158</v>
      </c>
      <c r="M72" s="4" t="s">
        <v>156</v>
      </c>
      <c r="N72" s="122" t="b">
        <f t="shared" si="8"/>
        <v>1</v>
      </c>
      <c r="O72" s="1">
        <f t="shared" si="53"/>
        <v>4</v>
      </c>
      <c r="P72" s="122" t="str">
        <f t="shared" si="54"/>
        <v/>
      </c>
      <c r="Q72" s="122" t="str">
        <f t="shared" si="55"/>
        <v/>
      </c>
      <c r="R72" s="122" t="str">
        <f t="shared" si="56"/>
        <v>04:R30</v>
      </c>
    </row>
    <row r="73" spans="1:18" ht="28.8">
      <c r="A73" s="120" t="s">
        <v>559</v>
      </c>
      <c r="B73" s="123" t="s">
        <v>560</v>
      </c>
      <c r="C73" s="120" t="s">
        <v>125</v>
      </c>
      <c r="D73" s="123" t="s">
        <v>483</v>
      </c>
      <c r="E73" s="120" t="str" cm="1">
        <f t="array" ref="E73">INDEX(LikelihoodValues,MAX(LEFT(RIGHT('Missing Control Risks'!D73,2),1)-1,1))</f>
        <v>Very Low (1)</v>
      </c>
      <c r="F73" s="123">
        <v>1</v>
      </c>
      <c r="G73" s="120">
        <f t="shared" si="57"/>
        <v>4</v>
      </c>
      <c r="H73" s="120" t="b">
        <f t="shared" si="1"/>
        <v>0</v>
      </c>
      <c r="I73" s="120" t="str">
        <f t="shared" si="58"/>
        <v>Very Low</v>
      </c>
      <c r="J73" s="120" t="str">
        <f>LEFT(VLOOKUP("Impact",'Risk Matrix'!$A$23:$F$23,$G73+1,FALSE),LEN(VLOOKUP("Impact",'Risk Matrix'!$A$23:$F$23,$G73+1,FALSE))-4)</f>
        <v>Major</v>
      </c>
      <c r="K73" s="1" t="str">
        <f t="shared" si="59"/>
        <v>Medium</v>
      </c>
      <c r="L73" s="121" t="s">
        <v>161</v>
      </c>
      <c r="M73" s="4" t="s">
        <v>159</v>
      </c>
      <c r="N73" s="122" t="b">
        <f t="shared" si="8"/>
        <v>1</v>
      </c>
      <c r="O73" s="1">
        <f t="shared" si="53"/>
        <v>8</v>
      </c>
      <c r="P73" s="122" t="str">
        <f t="shared" si="54"/>
        <v/>
      </c>
      <c r="Q73" s="122" t="str">
        <f t="shared" si="55"/>
        <v/>
      </c>
      <c r="R73" s="122" t="str">
        <f t="shared" si="56"/>
        <v>08:R30</v>
      </c>
    </row>
    <row r="74" spans="1:18" ht="28.8">
      <c r="A74" s="120" t="s">
        <v>559</v>
      </c>
      <c r="B74" s="123" t="s">
        <v>560</v>
      </c>
      <c r="C74" s="120" t="s">
        <v>125</v>
      </c>
      <c r="D74" s="123" t="s">
        <v>483</v>
      </c>
      <c r="E74" s="120" t="str" cm="1">
        <f t="array" ref="E74">INDEX(LikelihoodValues,MAX(LEFT(RIGHT('Missing Control Risks'!D74,2),1)-1,1))</f>
        <v>Very Low (1)</v>
      </c>
      <c r="F74" s="123">
        <v>1</v>
      </c>
      <c r="G74" s="120">
        <f t="shared" si="57"/>
        <v>4</v>
      </c>
      <c r="H74" s="120" t="b">
        <f t="shared" si="1"/>
        <v>0</v>
      </c>
      <c r="I74" s="120" t="str">
        <f t="shared" si="58"/>
        <v>Very Low</v>
      </c>
      <c r="J74" s="120" t="str">
        <f>LEFT(VLOOKUP("Impact",'Risk Matrix'!$A$23:$F$23,$G74+1,FALSE),LEN(VLOOKUP("Impact",'Risk Matrix'!$A$23:$F$23,$G74+1,FALSE))-4)</f>
        <v>Major</v>
      </c>
      <c r="K74" s="1" t="str">
        <f t="shared" si="59"/>
        <v>Medium</v>
      </c>
      <c r="L74" s="121" t="s">
        <v>164</v>
      </c>
      <c r="M74" s="4" t="s">
        <v>162</v>
      </c>
      <c r="N74" s="122" t="b">
        <f t="shared" si="8"/>
        <v>1</v>
      </c>
      <c r="O74" s="1">
        <f t="shared" si="53"/>
        <v>4</v>
      </c>
      <c r="P74" s="122" t="str">
        <f t="shared" si="54"/>
        <v/>
      </c>
      <c r="Q74" s="122" t="str">
        <f t="shared" si="55"/>
        <v/>
      </c>
      <c r="R74" s="122" t="str">
        <f t="shared" si="56"/>
        <v>04:R30</v>
      </c>
    </row>
    <row r="75" spans="1:18" ht="28.8">
      <c r="A75" s="120" t="s">
        <v>559</v>
      </c>
      <c r="B75" s="123" t="s">
        <v>561</v>
      </c>
      <c r="C75" s="120" t="s">
        <v>125</v>
      </c>
      <c r="D75" s="123" t="s">
        <v>480</v>
      </c>
      <c r="E75" s="120" t="str" cm="1">
        <f t="array" ref="E75">INDEX(LikelihoodValues,MAX(LEFT(RIGHT('Missing Control Risks'!D75,2),1)-1,1))</f>
        <v>Medium (3)</v>
      </c>
      <c r="F75" s="123">
        <v>0</v>
      </c>
      <c r="G75" s="120">
        <f t="shared" si="57"/>
        <v>3</v>
      </c>
      <c r="H75" s="120" t="b">
        <f t="shared" si="1"/>
        <v>0</v>
      </c>
      <c r="I75" s="120" t="str">
        <f t="shared" si="58"/>
        <v>High</v>
      </c>
      <c r="J75" s="120" t="str">
        <f>LEFT(VLOOKUP("Impact",'Risk Matrix'!$A$23:$F$23,$G75+1,FALSE),LEN(VLOOKUP("Impact",'Risk Matrix'!$A$23:$F$23,$G75+1,FALSE))-4)</f>
        <v>Moderate</v>
      </c>
      <c r="K75" s="1" t="str">
        <f t="shared" si="59"/>
        <v>High</v>
      </c>
      <c r="L75" s="121" t="s">
        <v>178</v>
      </c>
      <c r="M75" s="10" t="s">
        <v>175</v>
      </c>
      <c r="N75" s="122" t="b">
        <f t="shared" si="8"/>
        <v>1</v>
      </c>
      <c r="O75" s="1">
        <f t="shared" si="53"/>
        <v>8</v>
      </c>
      <c r="P75" s="122" t="str">
        <f t="shared" si="54"/>
        <v/>
      </c>
      <c r="Q75" s="122" t="str">
        <f t="shared" si="55"/>
        <v/>
      </c>
      <c r="R75" s="122" t="str">
        <f t="shared" si="56"/>
        <v>08:R30</v>
      </c>
    </row>
    <row r="76" spans="1:18" ht="28.8">
      <c r="A76" s="120" t="s">
        <v>559</v>
      </c>
      <c r="B76" s="123" t="s">
        <v>561</v>
      </c>
      <c r="C76" s="120" t="s">
        <v>125</v>
      </c>
      <c r="D76" s="123" t="s">
        <v>482</v>
      </c>
      <c r="E76" s="120" t="str" cm="1">
        <f t="array" ref="E76">INDEX(LikelihoodValues,MAX(LEFT(RIGHT('Missing Control Risks'!D76,2),1)-1,1))</f>
        <v>Very Low (1)</v>
      </c>
      <c r="F76" s="123">
        <v>0</v>
      </c>
      <c r="G76" s="120">
        <f t="shared" si="57"/>
        <v>3</v>
      </c>
      <c r="H76" s="120" t="b">
        <f t="shared" ref="H76:H82" si="60">VLOOKUP(M76,AssessedControls,5,FALSE)="Partial"</f>
        <v>0</v>
      </c>
      <c r="I76" s="120" t="str">
        <f t="shared" si="58"/>
        <v>Low</v>
      </c>
      <c r="J76" s="120" t="str">
        <f>LEFT(VLOOKUP("Impact",'Risk Matrix'!$A$23:$F$23,$G76+1,FALSE),LEN(VLOOKUP("Impact",'Risk Matrix'!$A$23:$F$23,$G76+1,FALSE))-4)</f>
        <v>Moderate</v>
      </c>
      <c r="K76" s="1" t="str">
        <f t="shared" si="59"/>
        <v>Medium</v>
      </c>
      <c r="L76" s="121" t="s">
        <v>181</v>
      </c>
      <c r="M76" s="4" t="s">
        <v>179</v>
      </c>
      <c r="N76" s="122" t="b">
        <f t="shared" si="8"/>
        <v>1</v>
      </c>
      <c r="O76" s="1">
        <f t="shared" si="53"/>
        <v>4</v>
      </c>
      <c r="P76" s="122" t="str">
        <f t="shared" si="54"/>
        <v/>
      </c>
      <c r="Q76" s="122" t="str">
        <f t="shared" si="55"/>
        <v/>
      </c>
      <c r="R76" s="122" t="str">
        <f t="shared" si="56"/>
        <v>04:R30</v>
      </c>
    </row>
    <row r="77" spans="1:18">
      <c r="A77" s="120" t="s">
        <v>562</v>
      </c>
      <c r="B77" s="123" t="s">
        <v>563</v>
      </c>
      <c r="C77" s="120" t="s">
        <v>125</v>
      </c>
      <c r="D77" s="123" t="s">
        <v>480</v>
      </c>
      <c r="E77" s="120" t="str" cm="1">
        <f t="array" ref="E77">INDEX(LikelihoodValues,MAX(LEFT(RIGHT('Missing Control Risks'!D77,2),1)-1,1))</f>
        <v>Medium (3)</v>
      </c>
      <c r="F77" s="123">
        <v>0</v>
      </c>
      <c r="G77" s="120">
        <f t="shared" si="57"/>
        <v>3</v>
      </c>
      <c r="H77" s="120" t="b">
        <f t="shared" si="60"/>
        <v>0</v>
      </c>
      <c r="I77" s="120" t="str">
        <f t="shared" si="58"/>
        <v>High</v>
      </c>
      <c r="J77" s="120" t="str">
        <f>LEFT(VLOOKUP("Impact",'Risk Matrix'!$A$23:$F$23,$G77+1,FALSE),LEN(VLOOKUP("Impact",'Risk Matrix'!$A$23:$F$23,$G77+1,FALSE))-4)</f>
        <v>Moderate</v>
      </c>
      <c r="K77" s="1" t="str">
        <f t="shared" si="59"/>
        <v>High</v>
      </c>
      <c r="L77" s="121" t="s">
        <v>214</v>
      </c>
      <c r="M77" s="8" t="s">
        <v>212</v>
      </c>
      <c r="N77" s="122" t="b">
        <f t="shared" ref="N77:N82" si="61">OR(VLOOKUP(M77,AssessedControls,5,FALSE)="Yes",NOT(VLOOKUP(M77,AssessedControls,4,FALSE)))</f>
        <v>1</v>
      </c>
      <c r="O77" s="1">
        <f t="shared" si="53"/>
        <v>8</v>
      </c>
      <c r="P77" s="122" t="str">
        <f t="shared" si="54"/>
        <v/>
      </c>
      <c r="Q77" s="122" t="str">
        <f t="shared" si="55"/>
        <v/>
      </c>
      <c r="R77" s="122" t="str">
        <f t="shared" si="56"/>
        <v>08:R31</v>
      </c>
    </row>
    <row r="78" spans="1:18" ht="28.8">
      <c r="A78" s="120" t="s">
        <v>562</v>
      </c>
      <c r="B78" s="123" t="s">
        <v>563</v>
      </c>
      <c r="C78" s="120" t="s">
        <v>125</v>
      </c>
      <c r="D78" s="123" t="s">
        <v>480</v>
      </c>
      <c r="E78" s="120" t="str" cm="1">
        <f t="array" ref="E78">INDEX(LikelihoodValues,MAX(LEFT(RIGHT('Missing Control Risks'!D78,2),1)-1,1))</f>
        <v>Medium (3)</v>
      </c>
      <c r="F78" s="123">
        <v>0</v>
      </c>
      <c r="G78" s="120">
        <f t="shared" si="57"/>
        <v>3</v>
      </c>
      <c r="H78" s="120" t="b">
        <f t="shared" si="60"/>
        <v>0</v>
      </c>
      <c r="I78" s="120" t="str">
        <f t="shared" si="58"/>
        <v>High</v>
      </c>
      <c r="J78" s="120" t="str">
        <f>LEFT(VLOOKUP("Impact",'Risk Matrix'!$A$23:$F$23,$G78+1,FALSE),LEN(VLOOKUP("Impact",'Risk Matrix'!$A$23:$F$23,$G78+1,FALSE))-4)</f>
        <v>Moderate</v>
      </c>
      <c r="K78" s="1" t="str">
        <f t="shared" si="59"/>
        <v>High</v>
      </c>
      <c r="L78" s="121" t="s">
        <v>227</v>
      </c>
      <c r="M78" s="4" t="s">
        <v>225</v>
      </c>
      <c r="N78" s="122" t="b">
        <f t="shared" si="61"/>
        <v>1</v>
      </c>
      <c r="O78" s="1">
        <f t="shared" si="53"/>
        <v>8</v>
      </c>
      <c r="P78" s="122" t="str">
        <f t="shared" si="54"/>
        <v/>
      </c>
      <c r="Q78" s="122" t="str">
        <f t="shared" si="55"/>
        <v/>
      </c>
      <c r="R78" s="122" t="str">
        <f t="shared" si="56"/>
        <v>08:R31</v>
      </c>
    </row>
    <row r="79" spans="1:18" ht="28.8">
      <c r="A79" s="120" t="s">
        <v>564</v>
      </c>
      <c r="B79" s="123" t="s">
        <v>565</v>
      </c>
      <c r="C79" s="120" t="s">
        <v>125</v>
      </c>
      <c r="D79" s="123" t="s">
        <v>482</v>
      </c>
      <c r="E79" s="120" t="str" cm="1">
        <f t="array" ref="E79">INDEX(LikelihoodValues,MAX(LEFT(RIGHT('Missing Control Risks'!D79,2),1)-1,1))</f>
        <v>Very Low (1)</v>
      </c>
      <c r="F79" s="123">
        <v>0</v>
      </c>
      <c r="G79" s="120">
        <f t="shared" si="57"/>
        <v>3</v>
      </c>
      <c r="H79" s="120" t="b">
        <f t="shared" si="60"/>
        <v>0</v>
      </c>
      <c r="I79" s="120" t="str">
        <f t="shared" si="58"/>
        <v>Low</v>
      </c>
      <c r="J79" s="120" t="str">
        <f>LEFT(VLOOKUP("Impact",'Risk Matrix'!$A$23:$F$23,$G79+1,FALSE),LEN(VLOOKUP("Impact",'Risk Matrix'!$A$23:$F$23,$G79+1,FALSE))-4)</f>
        <v>Moderate</v>
      </c>
      <c r="K79" s="1" t="str">
        <f t="shared" si="59"/>
        <v>Medium</v>
      </c>
      <c r="L79" s="121" t="s">
        <v>302</v>
      </c>
      <c r="M79" s="4" t="s">
        <v>300</v>
      </c>
      <c r="N79" s="122" t="b">
        <f t="shared" si="61"/>
        <v>1</v>
      </c>
      <c r="O79" s="1">
        <f t="shared" si="53"/>
        <v>8</v>
      </c>
      <c r="P79" s="122" t="str">
        <f t="shared" si="54"/>
        <v/>
      </c>
      <c r="Q79" s="122" t="str">
        <f t="shared" si="55"/>
        <v/>
      </c>
      <c r="R79" s="122" t="str">
        <f t="shared" si="56"/>
        <v>08:R32</v>
      </c>
    </row>
    <row r="80" spans="1:18" ht="28.8">
      <c r="A80" s="120" t="s">
        <v>564</v>
      </c>
      <c r="B80" s="123" t="s">
        <v>565</v>
      </c>
      <c r="C80" s="120" t="s">
        <v>125</v>
      </c>
      <c r="D80" s="123" t="s">
        <v>482</v>
      </c>
      <c r="E80" s="120" t="str" cm="1">
        <f t="array" ref="E80">INDEX(LikelihoodValues,MAX(LEFT(RIGHT('Missing Control Risks'!D80,2),1)-1,1))</f>
        <v>Very Low (1)</v>
      </c>
      <c r="F80" s="123">
        <v>0</v>
      </c>
      <c r="G80" s="120">
        <f t="shared" si="57"/>
        <v>3</v>
      </c>
      <c r="H80" s="120" t="b">
        <f t="shared" si="60"/>
        <v>0</v>
      </c>
      <c r="I80" s="120" t="str">
        <f t="shared" si="58"/>
        <v>Low</v>
      </c>
      <c r="J80" s="120" t="str">
        <f>LEFT(VLOOKUP("Impact",'Risk Matrix'!$A$23:$F$23,$G80+1,FALSE),LEN(VLOOKUP("Impact",'Risk Matrix'!$A$23:$F$23,$G80+1,FALSE))-4)</f>
        <v>Moderate</v>
      </c>
      <c r="K80" s="1" t="str">
        <f t="shared" si="59"/>
        <v>Medium</v>
      </c>
      <c r="L80" s="121" t="s">
        <v>290</v>
      </c>
      <c r="M80" s="4" t="s">
        <v>288</v>
      </c>
      <c r="N80" s="122" t="b">
        <f t="shared" si="61"/>
        <v>1</v>
      </c>
      <c r="O80" s="1">
        <f t="shared" si="53"/>
        <v>8</v>
      </c>
      <c r="P80" s="122" t="str">
        <f t="shared" si="54"/>
        <v/>
      </c>
      <c r="Q80" s="122" t="str">
        <f t="shared" si="55"/>
        <v/>
      </c>
      <c r="R80" s="122" t="str">
        <f t="shared" si="56"/>
        <v>08:R32</v>
      </c>
    </row>
    <row r="81" spans="1:18" ht="28.8">
      <c r="A81" s="120" t="s">
        <v>564</v>
      </c>
      <c r="B81" s="123" t="s">
        <v>565</v>
      </c>
      <c r="C81" s="120" t="s">
        <v>125</v>
      </c>
      <c r="D81" s="123" t="s">
        <v>482</v>
      </c>
      <c r="E81" s="120" t="str" cm="1">
        <f t="array" ref="E81">INDEX(LikelihoodValues,MAX(LEFT(RIGHT('Missing Control Risks'!D81,2),1)-1,1))</f>
        <v>Very Low (1)</v>
      </c>
      <c r="F81" s="123">
        <v>0</v>
      </c>
      <c r="G81" s="120">
        <f t="shared" ref="G81" si="62">MIN(VLOOKUP(C81,ImpactTypeRatings,2,FALSE)+F81,5)</f>
        <v>3</v>
      </c>
      <c r="H81" s="120" t="b">
        <f t="shared" ref="H81" si="63">VLOOKUP(M81,AssessedControls,5,FALSE)="Partial"</f>
        <v>0</v>
      </c>
      <c r="I81" s="120" t="str">
        <f t="shared" si="58"/>
        <v>Low</v>
      </c>
      <c r="J81" s="120" t="str">
        <f>LEFT(VLOOKUP("Impact",'Risk Matrix'!$A$23:$F$23,$G81+1,FALSE),LEN(VLOOKUP("Impact",'Risk Matrix'!$A$23:$F$23,$G81+1,FALSE))-4)</f>
        <v>Moderate</v>
      </c>
      <c r="K81" s="1" t="str">
        <f t="shared" si="59"/>
        <v>Medium</v>
      </c>
      <c r="L81" s="121" t="s">
        <v>173</v>
      </c>
      <c r="M81" s="4" t="s">
        <v>171</v>
      </c>
      <c r="N81" s="122" t="b">
        <f t="shared" ref="N81" si="64">OR(VLOOKUP(M81,AssessedControls,5,FALSE)="Yes",NOT(VLOOKUP(M81,AssessedControls,4,FALSE)))</f>
        <v>1</v>
      </c>
      <c r="O81" s="1">
        <f t="shared" ref="O81" si="65">VLOOKUP(CONCATENATE(K81,"-",VLOOKUP(M81,AssessedControls,7,FALSE)),ControlPriority,2,FALSE)</f>
        <v>8</v>
      </c>
      <c r="P81" s="122" t="str">
        <f t="shared" si="54"/>
        <v/>
      </c>
      <c r="Q81" s="122" t="str">
        <f t="shared" si="55"/>
        <v/>
      </c>
      <c r="R81" s="122" t="str">
        <f t="shared" ref="R81" si="66">CONCATENATE(TEXT(O81,"00"),":",A81)</f>
        <v>08:R32</v>
      </c>
    </row>
    <row r="82" spans="1:18" ht="28.8">
      <c r="A82" s="120" t="s">
        <v>566</v>
      </c>
      <c r="B82" s="123" t="s">
        <v>567</v>
      </c>
      <c r="C82" s="120" t="s">
        <v>125</v>
      </c>
      <c r="D82" s="123" t="s">
        <v>482</v>
      </c>
      <c r="E82" s="120" t="str" cm="1">
        <f t="array" ref="E82">INDEX(LikelihoodValues,MAX(LEFT(RIGHT('Missing Control Risks'!D82,2),1)-1,1))</f>
        <v>Very Low (1)</v>
      </c>
      <c r="F82" s="123">
        <v>0</v>
      </c>
      <c r="G82" s="120">
        <f t="shared" si="57"/>
        <v>3</v>
      </c>
      <c r="H82" s="120" t="b">
        <f t="shared" si="60"/>
        <v>0</v>
      </c>
      <c r="I82" s="120" t="str">
        <f t="shared" si="58"/>
        <v>Low</v>
      </c>
      <c r="J82" s="120" t="str">
        <f>LEFT(VLOOKUP("Impact",'Risk Matrix'!$A$23:$F$23,$G82+1,FALSE),LEN(VLOOKUP("Impact",'Risk Matrix'!$A$23:$F$23,$G82+1,FALSE))-4)</f>
        <v>Moderate</v>
      </c>
      <c r="K82" s="1" t="str">
        <f t="shared" si="59"/>
        <v>Medium</v>
      </c>
      <c r="L82" s="121" t="s">
        <v>152</v>
      </c>
      <c r="M82" s="4" t="s">
        <v>150</v>
      </c>
      <c r="N82" s="122" t="b">
        <f t="shared" si="61"/>
        <v>0</v>
      </c>
      <c r="O82" s="1">
        <f t="shared" si="53"/>
        <v>8</v>
      </c>
      <c r="P82" s="122" t="str">
        <f t="shared" si="54"/>
        <v/>
      </c>
      <c r="Q82" s="122" t="str">
        <f t="shared" si="55"/>
        <v/>
      </c>
      <c r="R82" s="122" t="str">
        <f t="shared" ref="R82:R83" si="67">CONCATENATE(TEXT(O82,"00"),":",A82)</f>
        <v>08:R33</v>
      </c>
    </row>
    <row r="83" spans="1:18" ht="28.8">
      <c r="A83" s="120" t="s">
        <v>566</v>
      </c>
      <c r="B83" s="123" t="s">
        <v>567</v>
      </c>
      <c r="C83" s="120" t="s">
        <v>125</v>
      </c>
      <c r="D83" s="123" t="s">
        <v>482</v>
      </c>
      <c r="E83" s="120" t="str" cm="1">
        <f t="array" ref="E83">INDEX(LikelihoodValues,MAX(LEFT(RIGHT('Missing Control Risks'!D83,2),1)-1,1))</f>
        <v>Very Low (1)</v>
      </c>
      <c r="F83" s="123">
        <v>0</v>
      </c>
      <c r="G83" s="120">
        <f t="shared" ref="G83" si="68">MIN(VLOOKUP(C83,ImpactTypeRatings,2,FALSE)+F83,5)</f>
        <v>3</v>
      </c>
      <c r="H83" s="120" t="b">
        <f t="shared" ref="H83" si="69">VLOOKUP(M83,AssessedControls,5,FALSE)="Partial"</f>
        <v>0</v>
      </c>
      <c r="I83" s="120" t="str">
        <f t="shared" si="58"/>
        <v>Low</v>
      </c>
      <c r="J83" s="120" t="str">
        <f>LEFT(VLOOKUP("Impact",'Risk Matrix'!$A$23:$F$23,$G83+1,FALSE),LEN(VLOOKUP("Impact",'Risk Matrix'!$A$23:$F$23,$G83+1,FALSE))-4)</f>
        <v>Moderate</v>
      </c>
      <c r="K83" s="1" t="str">
        <f t="shared" si="59"/>
        <v>Medium</v>
      </c>
      <c r="L83" s="121" t="s">
        <v>155</v>
      </c>
      <c r="M83" s="4" t="s">
        <v>153</v>
      </c>
      <c r="N83" s="122" t="b">
        <f t="shared" ref="N83" si="70">OR(VLOOKUP(M83,AssessedControls,5,FALSE)="Yes",NOT(VLOOKUP(M83,AssessedControls,4,FALSE)))</f>
        <v>1</v>
      </c>
      <c r="O83" s="1">
        <f t="shared" ref="O83" si="71">VLOOKUP(CONCATENATE(K83,"-",VLOOKUP(M83,AssessedControls,7,FALSE)),ControlPriority,2,FALSE)</f>
        <v>4</v>
      </c>
      <c r="P83" s="122" t="str">
        <f t="shared" si="54"/>
        <v/>
      </c>
      <c r="Q83" s="122" t="str">
        <f t="shared" si="55"/>
        <v/>
      </c>
      <c r="R83" s="122" t="str">
        <f t="shared" si="67"/>
        <v>04:R33</v>
      </c>
    </row>
    <row r="84" spans="1:18" ht="28.8">
      <c r="A84" s="120" t="s">
        <v>566</v>
      </c>
      <c r="B84" s="123" t="s">
        <v>567</v>
      </c>
      <c r="C84" s="120" t="s">
        <v>125</v>
      </c>
      <c r="D84" s="123" t="s">
        <v>482</v>
      </c>
      <c r="E84" s="120" t="str" cm="1">
        <f t="array" ref="E84">INDEX(LikelihoodValues,MAX(LEFT(RIGHT('Missing Control Risks'!D84,2),1)-1,1))</f>
        <v>Very Low (1)</v>
      </c>
      <c r="F84" s="123">
        <v>0</v>
      </c>
      <c r="G84" s="120">
        <f t="shared" ref="G84" si="72">MIN(VLOOKUP(C84,ImpactTypeRatings,2,FALSE)+F84,5)</f>
        <v>3</v>
      </c>
      <c r="H84" s="120" t="b">
        <f t="shared" ref="H84" si="73">VLOOKUP(M84,AssessedControls,5,FALSE)="Partial"</f>
        <v>0</v>
      </c>
      <c r="I84" s="120" t="str">
        <f t="shared" si="58"/>
        <v>Low</v>
      </c>
      <c r="J84" s="120" t="str">
        <f>LEFT(VLOOKUP("Impact",'Risk Matrix'!$A$23:$F$23,$G84+1,FALSE),LEN(VLOOKUP("Impact",'Risk Matrix'!$A$23:$F$23,$G84+1,FALSE))-4)</f>
        <v>Moderate</v>
      </c>
      <c r="K84" s="1" t="str">
        <f t="shared" si="59"/>
        <v>Medium</v>
      </c>
      <c r="L84" s="121" t="s">
        <v>167</v>
      </c>
      <c r="M84" s="4" t="s">
        <v>165</v>
      </c>
      <c r="N84" s="122" t="b">
        <f t="shared" ref="N84" si="74">OR(VLOOKUP(M84,AssessedControls,5,FALSE)="Yes",NOT(VLOOKUP(M84,AssessedControls,4,FALSE)))</f>
        <v>1</v>
      </c>
      <c r="O84" s="1">
        <f t="shared" ref="O84" si="75">VLOOKUP(CONCATENATE(K84,"-",VLOOKUP(M84,AssessedControls,7,FALSE)),ControlPriority,2,FALSE)</f>
        <v>8</v>
      </c>
      <c r="P84" s="122" t="str">
        <f t="shared" si="54"/>
        <v/>
      </c>
      <c r="Q84" s="122" t="str">
        <f t="shared" si="55"/>
        <v/>
      </c>
      <c r="R84" s="122" t="str">
        <f t="shared" ref="R84" si="76">CONCATENATE(TEXT(O84,"00"),":",A84)</f>
        <v>08:R33</v>
      </c>
    </row>
    <row r="85" spans="1:18" ht="28.8">
      <c r="A85" s="120" t="s">
        <v>566</v>
      </c>
      <c r="B85" s="123" t="s">
        <v>567</v>
      </c>
      <c r="C85" s="120" t="s">
        <v>125</v>
      </c>
      <c r="D85" s="123" t="s">
        <v>482</v>
      </c>
      <c r="E85" s="120" t="str" cm="1">
        <f t="array" ref="E85">INDEX(LikelihoodValues,MAX(LEFT(RIGHT('Missing Control Risks'!D85,2),1)-1,1))</f>
        <v>Very Low (1)</v>
      </c>
      <c r="F85" s="123">
        <v>0</v>
      </c>
      <c r="G85" s="120">
        <f t="shared" ref="G85" si="77">MIN(VLOOKUP(C85,ImpactTypeRatings,2,FALSE)+F85,5)</f>
        <v>3</v>
      </c>
      <c r="H85" s="120" t="b">
        <f t="shared" ref="H85" si="78">VLOOKUP(M85,AssessedControls,5,FALSE)="Partial"</f>
        <v>0</v>
      </c>
      <c r="I85" s="120" t="str">
        <f t="shared" si="58"/>
        <v>Low</v>
      </c>
      <c r="J85" s="120" t="str">
        <f>LEFT(VLOOKUP("Impact",'Risk Matrix'!$A$23:$F$23,$G85+1,FALSE),LEN(VLOOKUP("Impact",'Risk Matrix'!$A$23:$F$23,$G85+1,FALSE))-4)</f>
        <v>Moderate</v>
      </c>
      <c r="K85" s="1" t="str">
        <f t="shared" si="59"/>
        <v>Medium</v>
      </c>
      <c r="L85" s="121" t="s">
        <v>170</v>
      </c>
      <c r="M85" s="4" t="s">
        <v>168</v>
      </c>
      <c r="N85" s="122" t="b">
        <f t="shared" ref="N85" si="79">OR(VLOOKUP(M85,AssessedControls,5,FALSE)="Yes",NOT(VLOOKUP(M85,AssessedControls,4,FALSE)))</f>
        <v>1</v>
      </c>
      <c r="O85" s="1">
        <f t="shared" ref="O85" si="80">VLOOKUP(CONCATENATE(K85,"-",VLOOKUP(M85,AssessedControls,7,FALSE)),ControlPriority,2,FALSE)</f>
        <v>4</v>
      </c>
      <c r="P85" s="122" t="str">
        <f t="shared" si="54"/>
        <v/>
      </c>
      <c r="Q85" s="122" t="str">
        <f t="shared" si="55"/>
        <v/>
      </c>
      <c r="R85" s="122" t="str">
        <f t="shared" ref="R85" si="81">CONCATENATE(TEXT(O85,"00"),":",A85)</f>
        <v>04:R33</v>
      </c>
    </row>
    <row r="86" spans="1:18">
      <c r="A86" s="120" t="s">
        <v>568</v>
      </c>
      <c r="B86" s="123" t="s">
        <v>569</v>
      </c>
      <c r="C86" s="120" t="s">
        <v>125</v>
      </c>
      <c r="D86" s="123" t="s">
        <v>482</v>
      </c>
      <c r="E86" s="120" t="str" cm="1">
        <f t="array" ref="E86">INDEX(LikelihoodValues,MAX(LEFT(RIGHT('Missing Control Risks'!D86,2),1)-1,1))</f>
        <v>Very Low (1)</v>
      </c>
      <c r="F86" s="123">
        <v>0</v>
      </c>
      <c r="G86" s="120">
        <f t="shared" ref="G86" si="82">MIN(VLOOKUP(C86,ImpactTypeRatings,2,FALSE)+F86,5)</f>
        <v>3</v>
      </c>
      <c r="H86" s="120" t="b">
        <f t="shared" ref="H86" si="83">VLOOKUP(M86,AssessedControls,5,FALSE)="Partial"</f>
        <v>0</v>
      </c>
      <c r="I86" s="120" t="str">
        <f t="shared" si="58"/>
        <v>Low</v>
      </c>
      <c r="J86" s="120" t="str">
        <f>LEFT(VLOOKUP("Impact",'Risk Matrix'!$A$23:$F$23,$G86+1,FALSE),LEN(VLOOKUP("Impact",'Risk Matrix'!$A$23:$F$23,$G86+1,FALSE))-4)</f>
        <v>Moderate</v>
      </c>
      <c r="K86" s="1" t="str">
        <f t="shared" si="59"/>
        <v>Medium</v>
      </c>
      <c r="L86" s="121" t="s">
        <v>149</v>
      </c>
      <c r="M86" s="4" t="s">
        <v>147</v>
      </c>
      <c r="N86" s="122" t="b">
        <f t="shared" ref="N86" si="84">OR(VLOOKUP(M86,AssessedControls,5,FALSE)="Yes",NOT(VLOOKUP(M86,AssessedControls,4,FALSE)))</f>
        <v>1</v>
      </c>
      <c r="O86" s="1">
        <f t="shared" ref="O86" si="85">VLOOKUP(CONCATENATE(K86,"-",VLOOKUP(M86,AssessedControls,7,FALSE)),ControlPriority,2,FALSE)</f>
        <v>2</v>
      </c>
      <c r="P86" s="122" t="str">
        <f t="shared" si="54"/>
        <v/>
      </c>
      <c r="Q86" s="122" t="str">
        <f t="shared" si="55"/>
        <v/>
      </c>
      <c r="R86" s="122" t="str">
        <f t="shared" ref="R86" si="86">CONCATENATE(TEXT(O86,"00"),":",A86)</f>
        <v>02:R34</v>
      </c>
    </row>
    <row r="87" spans="1:18" ht="28.8">
      <c r="A87" s="120" t="s">
        <v>570</v>
      </c>
      <c r="B87" s="123" t="s">
        <v>571</v>
      </c>
      <c r="C87" s="120" t="s">
        <v>125</v>
      </c>
      <c r="D87" s="123" t="s">
        <v>482</v>
      </c>
      <c r="E87" s="120" t="str" cm="1">
        <f t="array" ref="E87">INDEX(LikelihoodValues,MAX(LEFT(RIGHT('Missing Control Risks'!D87,2),1)-1,1))</f>
        <v>Very Low (1)</v>
      </c>
      <c r="F87" s="123">
        <v>0</v>
      </c>
      <c r="G87" s="120">
        <f t="shared" ref="G87" si="87">MIN(VLOOKUP(C87,ImpactTypeRatings,2,FALSE)+F87,5)</f>
        <v>3</v>
      </c>
      <c r="H87" s="120" t="b">
        <f t="shared" ref="H87" si="88">VLOOKUP(M87,AssessedControls,5,FALSE)="Partial"</f>
        <v>0</v>
      </c>
      <c r="I87" s="120" t="str">
        <f t="shared" si="58"/>
        <v>Low</v>
      </c>
      <c r="J87" s="120" t="str">
        <f>LEFT(VLOOKUP("Impact",'Risk Matrix'!$A$23:$F$23,$G87+1,FALSE),LEN(VLOOKUP("Impact",'Risk Matrix'!$A$23:$F$23,$G87+1,FALSE))-4)</f>
        <v>Moderate</v>
      </c>
      <c r="K87" s="1" t="str">
        <f t="shared" si="59"/>
        <v>Medium</v>
      </c>
      <c r="L87" s="121" t="s">
        <v>244</v>
      </c>
      <c r="M87" s="4" t="s">
        <v>242</v>
      </c>
      <c r="N87" s="122" t="b">
        <f t="shared" ref="N87" si="89">OR(VLOOKUP(M87,AssessedControls,5,FALSE)="Yes",NOT(VLOOKUP(M87,AssessedControls,4,FALSE)))</f>
        <v>1</v>
      </c>
      <c r="O87" s="1">
        <f t="shared" ref="O87" si="90">VLOOKUP(CONCATENATE(K87,"-",VLOOKUP(M87,AssessedControls,7,FALSE)),ControlPriority,2,FALSE)</f>
        <v>8</v>
      </c>
      <c r="P87" s="122" t="str">
        <f t="shared" si="54"/>
        <v/>
      </c>
      <c r="Q87" s="122" t="str">
        <f t="shared" si="55"/>
        <v/>
      </c>
      <c r="R87" s="122" t="str">
        <f t="shared" ref="R87" si="91">CONCATENATE(TEXT(O87,"00"),":",A87)</f>
        <v>08:R35</v>
      </c>
    </row>
  </sheetData>
  <autoFilter ref="A1:R87" xr:uid="{00000000-0001-0000-0200-000000000000}"/>
  <conditionalFormatting sqref="B23:B40">
    <cfRule type="containsBlanks" dxfId="64" priority="108">
      <formula>LEN(TRIM(B23))=0</formula>
    </cfRule>
  </conditionalFormatting>
  <conditionalFormatting sqref="B41">
    <cfRule type="expression" dxfId="63" priority="134">
      <formula>#REF!="No"</formula>
    </cfRule>
    <cfRule type="expression" dxfId="62" priority="133">
      <formula>#REF!="Yes"</formula>
    </cfRule>
  </conditionalFormatting>
  <conditionalFormatting sqref="B41:B43">
    <cfRule type="expression" dxfId="61" priority="126">
      <formula>#REF!="N/A"</formula>
    </cfRule>
  </conditionalFormatting>
  <conditionalFormatting sqref="B42:B43">
    <cfRule type="expression" dxfId="60" priority="128">
      <formula>#REF!="No"</formula>
    </cfRule>
    <cfRule type="expression" dxfId="59" priority="127">
      <formula>#REF!="Yes"</formula>
    </cfRule>
  </conditionalFormatting>
  <conditionalFormatting sqref="B44:B53">
    <cfRule type="containsBlanks" dxfId="58" priority="143">
      <formula>LEN(TRIM(B44))=0</formula>
    </cfRule>
  </conditionalFormatting>
  <conditionalFormatting sqref="B61:B87">
    <cfRule type="containsBlanks" dxfId="57" priority="113">
      <formula>LEN(TRIM(B61))=0</formula>
    </cfRule>
  </conditionalFormatting>
  <conditionalFormatting sqref="M2:M4 A2:B19 B20:B21 A20:A87 A22:B22">
    <cfRule type="containsBlanks" dxfId="56" priority="165">
      <formula>LEN(TRIM(A2))=0</formula>
    </cfRule>
  </conditionalFormatting>
  <conditionalFormatting sqref="M5:M6">
    <cfRule type="expression" dxfId="55" priority="45">
      <formula>NOT($B5)</formula>
    </cfRule>
    <cfRule type="expression" dxfId="54" priority="48">
      <formula>AND($B5,$D5="Yes")</formula>
    </cfRule>
    <cfRule type="expression" dxfId="53" priority="47">
      <formula>AND($B5,$D5="Partial")</formula>
    </cfRule>
    <cfRule type="expression" dxfId="52" priority="46">
      <formula>AND($B5,$D5="No")</formula>
    </cfRule>
  </conditionalFormatting>
  <conditionalFormatting sqref="M7">
    <cfRule type="containsBlanks" dxfId="51" priority="98">
      <formula>LEN(TRIM(M7))=0</formula>
    </cfRule>
  </conditionalFormatting>
  <conditionalFormatting sqref="M8:M12">
    <cfRule type="expression" dxfId="50" priority="37">
      <formula>NOT($B8)</formula>
    </cfRule>
    <cfRule type="expression" dxfId="49" priority="38">
      <formula>AND($B8,$D8="No")</formula>
    </cfRule>
    <cfRule type="expression" dxfId="48" priority="39">
      <formula>AND($B8,$D8="Partial")</formula>
    </cfRule>
    <cfRule type="expression" dxfId="47" priority="40">
      <formula>AND($B8,$D8="Yes")</formula>
    </cfRule>
  </conditionalFormatting>
  <conditionalFormatting sqref="M13">
    <cfRule type="containsBlanks" dxfId="46" priority="36">
      <formula>LEN(TRIM(M13))=0</formula>
    </cfRule>
  </conditionalFormatting>
  <conditionalFormatting sqref="M14:M15">
    <cfRule type="expression" dxfId="45" priority="31">
      <formula>AND($B14,$D14="Yes")</formula>
    </cfRule>
    <cfRule type="expression" dxfId="44" priority="30">
      <formula>AND($B14,$D14="Partial")</formula>
    </cfRule>
    <cfRule type="expression" dxfId="43" priority="29">
      <formula>AND($B14,$D14="No")</formula>
    </cfRule>
    <cfRule type="expression" dxfId="42" priority="28">
      <formula>NOT($B14)</formula>
    </cfRule>
  </conditionalFormatting>
  <conditionalFormatting sqref="M16:M28">
    <cfRule type="containsBlanks" dxfId="41" priority="53">
      <formula>LEN(TRIM(M16))=0</formula>
    </cfRule>
  </conditionalFormatting>
  <conditionalFormatting sqref="M29:M30">
    <cfRule type="expression" dxfId="40" priority="24">
      <formula>NOT($B29)</formula>
    </cfRule>
    <cfRule type="expression" dxfId="39" priority="27">
      <formula>AND($B29,$D29="Yes")</formula>
    </cfRule>
    <cfRule type="expression" dxfId="38" priority="26">
      <formula>AND($B29,$D29="Partial")</formula>
    </cfRule>
    <cfRule type="expression" dxfId="37" priority="25">
      <formula>AND($B29,$D29="No")</formula>
    </cfRule>
  </conditionalFormatting>
  <conditionalFormatting sqref="M31:M41">
    <cfRule type="containsBlanks" dxfId="36" priority="56">
      <formula>LEN(TRIM(M31))=0</formula>
    </cfRule>
  </conditionalFormatting>
  <conditionalFormatting sqref="M36 M38:M40 M44:M60 M71:M72 M75:M76 M79:M87">
    <cfRule type="expression" dxfId="35" priority="357">
      <formula>AND($B36,$M36="No")</formula>
    </cfRule>
    <cfRule type="expression" dxfId="34" priority="358">
      <formula>AND($B36,$M36="Partial")</formula>
    </cfRule>
    <cfRule type="expression" dxfId="33" priority="359">
      <formula>AND($B36,$M36="Yes")</formula>
    </cfRule>
  </conditionalFormatting>
  <conditionalFormatting sqref="M36 M38:M40 M71:M72 M75:M76 M44:M60 M79:M87">
    <cfRule type="expression" dxfId="32" priority="356">
      <formula>NOT($B36)</formula>
    </cfRule>
  </conditionalFormatting>
  <conditionalFormatting sqref="M37">
    <cfRule type="expression" dxfId="31" priority="104">
      <formula>NOT(#REF!)</formula>
    </cfRule>
    <cfRule type="expression" dxfId="30" priority="105">
      <formula>AND(#REF!,$M37="No")</formula>
    </cfRule>
    <cfRule type="expression" dxfId="29" priority="106">
      <formula>AND(#REF!,$M37="Partial")</formula>
    </cfRule>
    <cfRule type="expression" dxfId="28" priority="107">
      <formula>AND(#REF!,$M37="Yes")</formula>
    </cfRule>
  </conditionalFormatting>
  <conditionalFormatting sqref="M64 M70:M72">
    <cfRule type="containsBlanks" dxfId="27" priority="23">
      <formula>LEN(TRIM(M64))=0</formula>
    </cfRule>
  </conditionalFormatting>
  <conditionalFormatting sqref="M65:M69">
    <cfRule type="expression" dxfId="26" priority="10">
      <formula>NOT($B65)</formula>
    </cfRule>
    <cfRule type="expression" dxfId="25" priority="13">
      <formula>AND($B65,$D65="Yes")</formula>
    </cfRule>
    <cfRule type="expression" dxfId="24" priority="11">
      <formula>AND($B65,$D65="No")</formula>
    </cfRule>
    <cfRule type="expression" dxfId="23" priority="12">
      <formula>AND($B65,$D65="Partial")</formula>
    </cfRule>
  </conditionalFormatting>
  <conditionalFormatting sqref="M73:M74">
    <cfRule type="expression" dxfId="22" priority="3">
      <formula>AND($B73,$D73="No")</formula>
    </cfRule>
    <cfRule type="expression" dxfId="21" priority="4">
      <formula>AND($B73,$D73="Partial")</formula>
    </cfRule>
    <cfRule type="expression" dxfId="20" priority="5">
      <formula>AND($B73,$D73="Yes")</formula>
    </cfRule>
    <cfRule type="expression" dxfId="19" priority="2">
      <formula>NOT($B73)</formula>
    </cfRule>
  </conditionalFormatting>
  <conditionalFormatting sqref="M75:M78">
    <cfRule type="containsBlanks" dxfId="18" priority="22">
      <formula>LEN(TRIM(M75))=0</formula>
    </cfRule>
  </conditionalFormatting>
  <dataValidations count="2">
    <dataValidation type="list" allowBlank="1" showInputMessage="1" showErrorMessage="1" sqref="D1:D1048576" xr:uid="{A13F35A9-321A-4FE7-9FFE-F7C458F966FA}">
      <formula1>Likelihood</formula1>
    </dataValidation>
    <dataValidation type="list" allowBlank="1" showInputMessage="1" showErrorMessage="1" sqref="C1:C1048576" xr:uid="{1B763617-B68E-4807-9DDD-6CA3404E381D}">
      <formula1>ImpactTypes</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U109"/>
  <sheetViews>
    <sheetView topLeftCell="K26" zoomScale="92" zoomScaleNormal="92" workbookViewId="0">
      <selection activeCell="S38" sqref="S38"/>
    </sheetView>
  </sheetViews>
  <sheetFormatPr defaultRowHeight="14.4"/>
  <cols>
    <col min="1" max="2" width="16.5546875" customWidth="1"/>
    <col min="3" max="3" width="17.44140625" bestFit="1" customWidth="1"/>
    <col min="4" max="4" width="16.5546875" customWidth="1"/>
    <col min="5" max="5" width="17.44140625" bestFit="1" customWidth="1"/>
    <col min="6" max="6" width="16.5546875" customWidth="1"/>
    <col min="7" max="7" width="17.44140625" bestFit="1" customWidth="1"/>
    <col min="8" max="10" width="16.5546875" customWidth="1"/>
    <col min="11" max="12" width="14.5546875" customWidth="1"/>
    <col min="13" max="13" width="26.44140625" customWidth="1"/>
    <col min="14" max="14" width="16.6640625" customWidth="1"/>
    <col min="15" max="15" width="19.33203125" customWidth="1"/>
    <col min="16" max="16" width="12.44140625" customWidth="1"/>
    <col min="17" max="17" width="18.6640625" customWidth="1"/>
    <col min="18" max="18" width="12.44140625" customWidth="1"/>
    <col min="19" max="19" width="64.5546875" bestFit="1" customWidth="1"/>
    <col min="20" max="20" width="21.6640625" customWidth="1"/>
    <col min="21" max="21" width="66.33203125" bestFit="1" customWidth="1"/>
  </cols>
  <sheetData>
    <row r="1" spans="1:21" ht="31.35" customHeight="1" thickBot="1">
      <c r="A1" s="46" t="s">
        <v>572</v>
      </c>
      <c r="B1" s="47"/>
      <c r="C1" s="47"/>
      <c r="D1" s="47"/>
      <c r="E1" s="47"/>
      <c r="F1" s="47"/>
      <c r="G1" s="47"/>
      <c r="H1" s="47"/>
      <c r="I1" s="67"/>
      <c r="J1" s="67"/>
      <c r="K1" s="44"/>
      <c r="L1" s="45"/>
      <c r="M1" s="43" t="s">
        <v>573</v>
      </c>
      <c r="N1" s="44"/>
      <c r="O1" s="44"/>
      <c r="P1" s="44"/>
      <c r="R1" s="44"/>
      <c r="U1" s="42"/>
    </row>
    <row r="2" spans="1:21" ht="16.2" thickBot="1">
      <c r="A2" s="14" t="s">
        <v>574</v>
      </c>
      <c r="B2" s="14" t="s">
        <v>575</v>
      </c>
      <c r="C2" s="14" t="s">
        <v>576</v>
      </c>
      <c r="D2" s="14" t="s">
        <v>575</v>
      </c>
      <c r="E2" s="14" t="s">
        <v>577</v>
      </c>
      <c r="F2" s="14" t="s">
        <v>575</v>
      </c>
      <c r="G2" s="14" t="s">
        <v>67</v>
      </c>
      <c r="H2" s="14" t="s">
        <v>575</v>
      </c>
      <c r="I2" s="14" t="s">
        <v>71</v>
      </c>
      <c r="J2" s="14" t="s">
        <v>575</v>
      </c>
      <c r="K2" s="14" t="s">
        <v>86</v>
      </c>
      <c r="L2" s="14" t="s">
        <v>575</v>
      </c>
      <c r="M2" s="14" t="s">
        <v>372</v>
      </c>
      <c r="N2" s="14" t="s">
        <v>575</v>
      </c>
      <c r="O2" s="14" t="s">
        <v>383</v>
      </c>
      <c r="P2" s="14" t="s">
        <v>575</v>
      </c>
      <c r="Q2" s="14" t="s">
        <v>125</v>
      </c>
      <c r="R2" s="14" t="s">
        <v>575</v>
      </c>
      <c r="S2" s="14" t="s">
        <v>403</v>
      </c>
      <c r="T2" s="14" t="s">
        <v>92</v>
      </c>
      <c r="U2" s="14"/>
    </row>
    <row r="3" spans="1:21" ht="16.2" thickBot="1">
      <c r="A3" s="12" t="s">
        <v>578</v>
      </c>
      <c r="B3" s="13" t="b">
        <f t="shared" ref="B3:B33" si="0">IF(A3="Any",TRUE,Management=A3)</f>
        <v>1</v>
      </c>
      <c r="C3" s="13" t="s">
        <v>578</v>
      </c>
      <c r="D3" s="13" t="b" cm="1">
        <f t="array" ref="D3">IF(C3="Any",TRUE,ClientType=C3)</f>
        <v>1</v>
      </c>
      <c r="E3" s="13" t="s">
        <v>578</v>
      </c>
      <c r="F3" s="13" t="b">
        <f t="shared" ref="F3:F37" si="1">IF(E3="Any",TRUE,HasIntegrations=E3)</f>
        <v>1</v>
      </c>
      <c r="G3" s="13" t="s">
        <v>578</v>
      </c>
      <c r="H3" s="13" t="b">
        <f t="shared" ref="H3:J33" si="2">IF(G3="Any",TRUE,Software=G3)</f>
        <v>1</v>
      </c>
      <c r="I3" s="13" t="s">
        <v>578</v>
      </c>
      <c r="J3" s="13" t="b">
        <f t="shared" si="2"/>
        <v>1</v>
      </c>
      <c r="K3" s="13" t="s">
        <v>578</v>
      </c>
      <c r="L3" s="13" t="b">
        <f t="shared" ref="L3:L36" si="3">IF(K3="Any",TRUE,ApplicationTier=K3)</f>
        <v>1</v>
      </c>
      <c r="M3" s="12" t="s">
        <v>578</v>
      </c>
      <c r="N3" s="13" t="b">
        <f t="shared" ref="N3:N33" si="4">IF(M3="Any",TRUE,Confidentiality=M3)</f>
        <v>1</v>
      </c>
      <c r="O3" s="13" t="s">
        <v>578</v>
      </c>
      <c r="P3" s="13" t="b">
        <f t="shared" ref="P3:P33" si="5">IF(O3="Any",TRUE,Integrity=O3)</f>
        <v>1</v>
      </c>
      <c r="Q3" s="13" t="s">
        <v>578</v>
      </c>
      <c r="R3" s="13" t="b">
        <f t="shared" ref="R3:R36" si="6">IF(Q3="Any",TRUE,Availability=Q3)</f>
        <v>1</v>
      </c>
      <c r="S3" s="13" t="s">
        <v>208</v>
      </c>
      <c r="T3" s="13" t="b">
        <f>AND(B3,D3,F3,H3,J3,L3,N3,P3,R3)</f>
        <v>1</v>
      </c>
      <c r="U3" s="13" t="str">
        <f>CONCATENATE(S3,":",T3)</f>
        <v>Application registration:TRUE</v>
      </c>
    </row>
    <row r="4" spans="1:21" ht="16.2" thickBot="1">
      <c r="A4" s="12" t="s">
        <v>578</v>
      </c>
      <c r="B4" s="13" t="b">
        <f t="shared" si="0"/>
        <v>1</v>
      </c>
      <c r="C4" s="13" t="s">
        <v>578</v>
      </c>
      <c r="D4" s="13" t="b" cm="1">
        <f t="array" ref="D4">IF(C4="Any",TRUE,ClientType=C4)</f>
        <v>1</v>
      </c>
      <c r="E4" s="13" t="s">
        <v>578</v>
      </c>
      <c r="F4" s="13" t="b">
        <f t="shared" si="1"/>
        <v>1</v>
      </c>
      <c r="G4" s="13" t="s">
        <v>578</v>
      </c>
      <c r="H4" s="13" t="b">
        <f t="shared" si="2"/>
        <v>1</v>
      </c>
      <c r="I4" s="13" t="s">
        <v>578</v>
      </c>
      <c r="J4" s="13" t="b">
        <f t="shared" si="2"/>
        <v>1</v>
      </c>
      <c r="K4" s="13" t="s">
        <v>578</v>
      </c>
      <c r="L4" s="13" t="b">
        <f t="shared" si="3"/>
        <v>1</v>
      </c>
      <c r="M4" s="13" t="s">
        <v>578</v>
      </c>
      <c r="N4" s="13" t="b">
        <f t="shared" si="4"/>
        <v>1</v>
      </c>
      <c r="O4" s="13" t="s">
        <v>578</v>
      </c>
      <c r="P4" s="13" t="b">
        <f t="shared" si="5"/>
        <v>1</v>
      </c>
      <c r="Q4" s="13" t="s">
        <v>578</v>
      </c>
      <c r="R4" s="13" t="b">
        <f t="shared" si="6"/>
        <v>1</v>
      </c>
      <c r="S4" s="13" t="s">
        <v>104</v>
      </c>
      <c r="T4" s="13" t="b">
        <f t="shared" ref="T4:T73" si="7">AND(B4,D4,F4,H4,J4,L4,N4,P4,R4)</f>
        <v>1</v>
      </c>
      <c r="U4" s="13" t="str">
        <f t="shared" ref="U4:U86" si="8">CONCATENATE(S4,":",T4)</f>
        <v>Access control:TRUE</v>
      </c>
    </row>
    <row r="5" spans="1:21" ht="16.2" thickBot="1">
      <c r="A5" s="12" t="s">
        <v>578</v>
      </c>
      <c r="B5" s="13" t="b">
        <f t="shared" ref="B5" si="9">IF(A5="Any",TRUE,Management=A5)</f>
        <v>1</v>
      </c>
      <c r="C5" s="13" t="s">
        <v>578</v>
      </c>
      <c r="D5" s="13" t="b" cm="1">
        <f t="array" ref="D5">IF(C5="Any",TRUE,ClientType=C5)</f>
        <v>1</v>
      </c>
      <c r="E5" s="13" t="s">
        <v>578</v>
      </c>
      <c r="F5" s="13" t="b">
        <f t="shared" si="1"/>
        <v>1</v>
      </c>
      <c r="G5" s="13" t="s">
        <v>578</v>
      </c>
      <c r="H5" s="13" t="b">
        <f t="shared" ref="H5" si="10">IF(G5="Any",TRUE,Software=G5)</f>
        <v>1</v>
      </c>
      <c r="I5" s="13" t="s">
        <v>578</v>
      </c>
      <c r="J5" s="13" t="b">
        <f t="shared" ref="J5" si="11">IF(I5="Any",TRUE,Software=I5)</f>
        <v>1</v>
      </c>
      <c r="K5" s="13" t="s">
        <v>578</v>
      </c>
      <c r="L5" s="13" t="b">
        <f t="shared" si="3"/>
        <v>1</v>
      </c>
      <c r="M5" s="13" t="s">
        <v>578</v>
      </c>
      <c r="N5" s="13" t="b">
        <f t="shared" ref="N5" si="12">IF(M5="Any",TRUE,Confidentiality=M5)</f>
        <v>1</v>
      </c>
      <c r="O5" s="13" t="s">
        <v>578</v>
      </c>
      <c r="P5" s="13" t="b">
        <f t="shared" ref="P5" si="13">IF(O5="Any",TRUE,Integrity=O5)</f>
        <v>1</v>
      </c>
      <c r="Q5" s="13" t="s">
        <v>578</v>
      </c>
      <c r="R5" s="13" t="b">
        <f t="shared" si="6"/>
        <v>1</v>
      </c>
      <c r="S5" s="13" t="s">
        <v>107</v>
      </c>
      <c r="T5" s="13" t="b">
        <f t="shared" si="7"/>
        <v>1</v>
      </c>
      <c r="U5" s="13" t="str">
        <f t="shared" ref="U5" si="14">CONCATENATE(S5,":",T5)</f>
        <v>Privileges management:TRUE</v>
      </c>
    </row>
    <row r="6" spans="1:21" ht="16.2" thickBot="1">
      <c r="A6" s="12" t="s">
        <v>578</v>
      </c>
      <c r="B6" s="13" t="b">
        <f t="shared" si="0"/>
        <v>1</v>
      </c>
      <c r="C6" s="13" t="s">
        <v>578</v>
      </c>
      <c r="D6" s="13" t="b" cm="1">
        <f t="array" ref="D6">IF(C6="Any",TRUE,ClientType=C6)</f>
        <v>1</v>
      </c>
      <c r="E6" s="13" t="s">
        <v>578</v>
      </c>
      <c r="F6" s="13" t="b">
        <f t="shared" si="1"/>
        <v>1</v>
      </c>
      <c r="G6" s="13" t="s">
        <v>578</v>
      </c>
      <c r="H6" s="13" t="b">
        <f t="shared" si="2"/>
        <v>1</v>
      </c>
      <c r="I6" s="13" t="s">
        <v>578</v>
      </c>
      <c r="J6" s="13" t="b">
        <f t="shared" si="2"/>
        <v>1</v>
      </c>
      <c r="K6" s="13" t="s">
        <v>578</v>
      </c>
      <c r="L6" s="13" t="b">
        <f t="shared" si="3"/>
        <v>1</v>
      </c>
      <c r="M6" s="13" t="s">
        <v>578</v>
      </c>
      <c r="N6" s="13" t="b">
        <f t="shared" si="4"/>
        <v>1</v>
      </c>
      <c r="O6" s="13" t="s">
        <v>578</v>
      </c>
      <c r="P6" s="13" t="b">
        <f t="shared" si="5"/>
        <v>1</v>
      </c>
      <c r="Q6" s="13" t="s">
        <v>578</v>
      </c>
      <c r="R6" s="13" t="b">
        <f t="shared" si="6"/>
        <v>1</v>
      </c>
      <c r="S6" s="13" t="s">
        <v>100</v>
      </c>
      <c r="T6" s="13" t="b">
        <f t="shared" si="7"/>
        <v>1</v>
      </c>
      <c r="U6" s="13" t="str">
        <f t="shared" si="8"/>
        <v>Access and privileges management policy:TRUE</v>
      </c>
    </row>
    <row r="7" spans="1:21" ht="16.2" thickBot="1">
      <c r="A7" s="12" t="s">
        <v>578</v>
      </c>
      <c r="B7" s="13" t="b">
        <f t="shared" ref="B7:B15" si="15">IF(A7="Any",TRUE,Management=A7)</f>
        <v>1</v>
      </c>
      <c r="C7" s="13" t="s">
        <v>578</v>
      </c>
      <c r="D7" s="13" t="b" cm="1">
        <f t="array" ref="D7">IF(C7="Any",TRUE,ClientType=C7)</f>
        <v>1</v>
      </c>
      <c r="E7" s="13" t="s">
        <v>578</v>
      </c>
      <c r="F7" s="13" t="b">
        <f t="shared" si="1"/>
        <v>1</v>
      </c>
      <c r="G7" s="13" t="s">
        <v>578</v>
      </c>
      <c r="H7" s="13" t="b">
        <f t="shared" ref="H7:H15" si="16">IF(G7="Any",TRUE,Software=G7)</f>
        <v>1</v>
      </c>
      <c r="I7" s="13" t="s">
        <v>578</v>
      </c>
      <c r="J7" s="13" t="b">
        <f t="shared" si="2"/>
        <v>1</v>
      </c>
      <c r="K7" s="13" t="s">
        <v>578</v>
      </c>
      <c r="L7" s="13" t="b">
        <f t="shared" si="3"/>
        <v>1</v>
      </c>
      <c r="M7" s="13" t="s">
        <v>578</v>
      </c>
      <c r="N7" s="13" t="b">
        <f t="shared" ref="N7:N16" si="17">IF(M7="Any",TRUE,Confidentiality=M7)</f>
        <v>1</v>
      </c>
      <c r="O7" s="13" t="s">
        <v>578</v>
      </c>
      <c r="P7" s="13" t="b">
        <f t="shared" ref="P7:P15" si="18">IF(O7="Any",TRUE,Integrity=O7)</f>
        <v>1</v>
      </c>
      <c r="Q7" s="13" t="s">
        <v>578</v>
      </c>
      <c r="R7" s="13" t="b">
        <f t="shared" si="6"/>
        <v>1</v>
      </c>
      <c r="S7" s="13" t="s">
        <v>122</v>
      </c>
      <c r="T7" s="13" t="b">
        <f t="shared" si="7"/>
        <v>1</v>
      </c>
      <c r="U7" s="13" t="str">
        <f>CONCATENATE(S7,":",T7)</f>
        <v>Web application SSO:TRUE</v>
      </c>
    </row>
    <row r="8" spans="1:21" ht="16.2" thickBot="1">
      <c r="A8" s="12" t="s">
        <v>578</v>
      </c>
      <c r="B8" s="13" t="b">
        <f t="shared" ref="B8" si="19">IF(A8="Any",TRUE,Management=A8)</f>
        <v>1</v>
      </c>
      <c r="C8" s="13" t="s">
        <v>578</v>
      </c>
      <c r="D8" s="13" t="b" cm="1">
        <f t="array" ref="D8">IF(C8="Any",TRUE,ClientType=C8)</f>
        <v>1</v>
      </c>
      <c r="E8" s="13" t="s">
        <v>579</v>
      </c>
      <c r="F8" s="13" t="b">
        <f t="shared" ref="F8" si="20">IF(E8="Any",TRUE,HasIntegrations=E8)</f>
        <v>0</v>
      </c>
      <c r="G8" s="13" t="s">
        <v>578</v>
      </c>
      <c r="H8" s="13" t="b">
        <f t="shared" ref="H8" si="21">IF(G8="Any",TRUE,Software=G8)</f>
        <v>1</v>
      </c>
      <c r="I8" s="13" t="s">
        <v>578</v>
      </c>
      <c r="J8" s="13" t="b">
        <f t="shared" si="2"/>
        <v>1</v>
      </c>
      <c r="K8" s="13" t="s">
        <v>578</v>
      </c>
      <c r="L8" s="13" t="b">
        <f t="shared" si="3"/>
        <v>1</v>
      </c>
      <c r="M8" s="13" t="s">
        <v>578</v>
      </c>
      <c r="N8" s="13" t="b">
        <f t="shared" ref="N8" si="22">IF(M8="Any",TRUE,Confidentiality=M8)</f>
        <v>1</v>
      </c>
      <c r="O8" s="13" t="s">
        <v>578</v>
      </c>
      <c r="P8" s="13" t="b">
        <f t="shared" ref="P8" si="23">IF(O8="Any",TRUE,Integrity=O8)</f>
        <v>1</v>
      </c>
      <c r="Q8" s="13" t="s">
        <v>578</v>
      </c>
      <c r="R8" s="13" t="b">
        <f t="shared" si="6"/>
        <v>1</v>
      </c>
      <c r="S8" s="13" t="s">
        <v>235</v>
      </c>
      <c r="T8" s="13" t="b">
        <f t="shared" ref="T8" si="24">AND(B8,D8,F8,H8,J8,L8,N8,P8,R8)</f>
        <v>0</v>
      </c>
      <c r="U8" s="13" t="str">
        <f t="shared" ref="U8" si="25">CONCATENATE(S8,":",T8)</f>
        <v>Access to integration data restricted:FALSE</v>
      </c>
    </row>
    <row r="9" spans="1:21" ht="16.2" thickBot="1">
      <c r="A9" s="12" t="s">
        <v>578</v>
      </c>
      <c r="B9" s="13" t="b">
        <f t="shared" si="15"/>
        <v>1</v>
      </c>
      <c r="C9" s="13" t="s">
        <v>578</v>
      </c>
      <c r="D9" s="13" t="b" cm="1">
        <f t="array" ref="D9">IF(C9="Any",TRUE,ClientType=C9)</f>
        <v>1</v>
      </c>
      <c r="E9" s="13" t="s">
        <v>579</v>
      </c>
      <c r="F9" s="13" t="b">
        <f t="shared" si="1"/>
        <v>0</v>
      </c>
      <c r="G9" s="13" t="s">
        <v>578</v>
      </c>
      <c r="H9" s="13" t="b">
        <f t="shared" si="16"/>
        <v>1</v>
      </c>
      <c r="I9" s="13" t="s">
        <v>578</v>
      </c>
      <c r="J9" s="13" t="b">
        <f t="shared" ref="J9:J14" si="26">IF(I9="Any",TRUE,Software=I9)</f>
        <v>1</v>
      </c>
      <c r="K9" s="13" t="s">
        <v>578</v>
      </c>
      <c r="L9" s="13" t="b">
        <f t="shared" si="3"/>
        <v>1</v>
      </c>
      <c r="M9" s="13" t="s">
        <v>578</v>
      </c>
      <c r="N9" s="13" t="b">
        <f t="shared" si="17"/>
        <v>1</v>
      </c>
      <c r="O9" s="13" t="s">
        <v>578</v>
      </c>
      <c r="P9" s="13" t="b">
        <f t="shared" si="18"/>
        <v>1</v>
      </c>
      <c r="Q9" s="13" t="s">
        <v>578</v>
      </c>
      <c r="R9" s="13" t="b">
        <f t="shared" si="6"/>
        <v>1</v>
      </c>
      <c r="S9" s="13" t="s">
        <v>580</v>
      </c>
      <c r="T9" s="13" t="b">
        <f t="shared" si="7"/>
        <v>0</v>
      </c>
      <c r="U9" s="13" t="str">
        <f t="shared" ref="U9:U14" si="27">CONCATENATE(S9,":",T9)</f>
        <v>Intermediate Integration data deleted:FALSE</v>
      </c>
    </row>
    <row r="10" spans="1:21" ht="16.2" thickBot="1">
      <c r="A10" s="12" t="s">
        <v>578</v>
      </c>
      <c r="B10" s="13" t="b">
        <f t="shared" si="15"/>
        <v>1</v>
      </c>
      <c r="C10" s="13" t="s">
        <v>578</v>
      </c>
      <c r="D10" s="13" t="b" cm="1">
        <f t="array" ref="D10">IF(C10="Any",TRUE,ClientType=C10)</f>
        <v>1</v>
      </c>
      <c r="E10" s="13" t="s">
        <v>579</v>
      </c>
      <c r="F10" s="13" t="b">
        <f t="shared" si="1"/>
        <v>0</v>
      </c>
      <c r="G10" s="13" t="s">
        <v>578</v>
      </c>
      <c r="H10" s="13" t="b">
        <f t="shared" si="16"/>
        <v>1</v>
      </c>
      <c r="I10" s="13" t="s">
        <v>578</v>
      </c>
      <c r="J10" s="13" t="b">
        <f t="shared" si="26"/>
        <v>1</v>
      </c>
      <c r="K10" s="13" t="s">
        <v>578</v>
      </c>
      <c r="L10" s="13" t="b">
        <f t="shared" si="3"/>
        <v>1</v>
      </c>
      <c r="M10" s="13" t="s">
        <v>578</v>
      </c>
      <c r="N10" s="13" t="b">
        <f t="shared" si="17"/>
        <v>1</v>
      </c>
      <c r="O10" s="13" t="s">
        <v>578</v>
      </c>
      <c r="P10" s="13" t="b">
        <f t="shared" si="18"/>
        <v>1</v>
      </c>
      <c r="Q10" s="13" t="s">
        <v>578</v>
      </c>
      <c r="R10" s="13" t="b">
        <f t="shared" si="6"/>
        <v>1</v>
      </c>
      <c r="S10" s="13" t="s">
        <v>242</v>
      </c>
      <c r="T10" s="13" t="b">
        <f t="shared" si="7"/>
        <v>0</v>
      </c>
      <c r="U10" s="13" t="str">
        <f t="shared" si="27"/>
        <v>Integrations compliant with data integration architecture:FALSE</v>
      </c>
    </row>
    <row r="11" spans="1:21" ht="16.2" thickBot="1">
      <c r="A11" s="12" t="s">
        <v>578</v>
      </c>
      <c r="B11" s="13" t="b">
        <f t="shared" si="15"/>
        <v>1</v>
      </c>
      <c r="C11" s="13" t="s">
        <v>578</v>
      </c>
      <c r="D11" s="13" t="b" cm="1">
        <f t="array" ref="D11">IF(C11="Any",TRUE,ClientType=C11)</f>
        <v>1</v>
      </c>
      <c r="E11" s="13" t="s">
        <v>579</v>
      </c>
      <c r="F11" s="13" t="b">
        <f t="shared" si="1"/>
        <v>0</v>
      </c>
      <c r="G11" s="13" t="s">
        <v>578</v>
      </c>
      <c r="H11" s="13" t="b">
        <f t="shared" si="16"/>
        <v>1</v>
      </c>
      <c r="I11" s="13" t="s">
        <v>578</v>
      </c>
      <c r="J11" s="13" t="b">
        <f t="shared" si="26"/>
        <v>1</v>
      </c>
      <c r="K11" s="13" t="s">
        <v>578</v>
      </c>
      <c r="L11" s="13" t="b">
        <f t="shared" si="3"/>
        <v>1</v>
      </c>
      <c r="M11" s="13" t="s">
        <v>578</v>
      </c>
      <c r="N11" s="13" t="b">
        <f t="shared" si="17"/>
        <v>1</v>
      </c>
      <c r="O11" s="13" t="s">
        <v>578</v>
      </c>
      <c r="P11" s="13" t="b">
        <f t="shared" si="18"/>
        <v>1</v>
      </c>
      <c r="Q11" s="13" t="s">
        <v>578</v>
      </c>
      <c r="R11" s="13" t="b">
        <f t="shared" si="6"/>
        <v>1</v>
      </c>
      <c r="S11" s="13" t="s">
        <v>245</v>
      </c>
      <c r="T11" s="13" t="b">
        <f t="shared" si="7"/>
        <v>0</v>
      </c>
      <c r="U11" s="13" t="str">
        <f t="shared" si="27"/>
        <v>Integration data protected in transit:FALSE</v>
      </c>
    </row>
    <row r="12" spans="1:21" ht="16.2" thickBot="1">
      <c r="A12" s="12" t="s">
        <v>578</v>
      </c>
      <c r="B12" s="13" t="b">
        <f t="shared" si="15"/>
        <v>1</v>
      </c>
      <c r="C12" s="13" t="s">
        <v>578</v>
      </c>
      <c r="D12" s="13" t="b" cm="1">
        <f t="array" ref="D12">IF(C12="Any",TRUE,ClientType=C12)</f>
        <v>1</v>
      </c>
      <c r="E12" s="13" t="s">
        <v>579</v>
      </c>
      <c r="F12" s="13" t="b">
        <f t="shared" si="1"/>
        <v>0</v>
      </c>
      <c r="G12" s="13" t="s">
        <v>578</v>
      </c>
      <c r="H12" s="13" t="b">
        <f t="shared" si="16"/>
        <v>1</v>
      </c>
      <c r="I12" s="13" t="s">
        <v>578</v>
      </c>
      <c r="J12" s="13" t="b">
        <f t="shared" si="26"/>
        <v>1</v>
      </c>
      <c r="K12" s="13" t="s">
        <v>578</v>
      </c>
      <c r="L12" s="13" t="b">
        <f t="shared" si="3"/>
        <v>1</v>
      </c>
      <c r="M12" s="13" t="s">
        <v>578</v>
      </c>
      <c r="N12" s="13" t="b">
        <f t="shared" si="17"/>
        <v>1</v>
      </c>
      <c r="O12" s="13" t="s">
        <v>578</v>
      </c>
      <c r="P12" s="13" t="b">
        <f t="shared" si="18"/>
        <v>1</v>
      </c>
      <c r="Q12" s="13" t="s">
        <v>578</v>
      </c>
      <c r="R12" s="13" t="b">
        <f t="shared" si="6"/>
        <v>1</v>
      </c>
      <c r="S12" s="13" t="s">
        <v>248</v>
      </c>
      <c r="T12" s="13" t="b">
        <f t="shared" si="7"/>
        <v>0</v>
      </c>
      <c r="U12" s="13" t="str">
        <f t="shared" si="27"/>
        <v>Integrations registered:FALSE</v>
      </c>
    </row>
    <row r="13" spans="1:21" ht="16.2" thickBot="1">
      <c r="A13" s="12" t="s">
        <v>578</v>
      </c>
      <c r="B13" s="13" t="b">
        <f t="shared" si="15"/>
        <v>1</v>
      </c>
      <c r="C13" s="13" t="s">
        <v>578</v>
      </c>
      <c r="D13" s="13" t="b" cm="1">
        <f t="array" ref="D13">IF(C13="Any",TRUE,ClientType=C13)</f>
        <v>1</v>
      </c>
      <c r="E13" s="13" t="s">
        <v>579</v>
      </c>
      <c r="F13" s="13" t="b">
        <f t="shared" si="1"/>
        <v>0</v>
      </c>
      <c r="G13" s="13" t="s">
        <v>578</v>
      </c>
      <c r="H13" s="13" t="b">
        <f t="shared" si="16"/>
        <v>1</v>
      </c>
      <c r="I13" s="13" t="s">
        <v>578</v>
      </c>
      <c r="J13" s="13" t="b">
        <f t="shared" si="26"/>
        <v>1</v>
      </c>
      <c r="K13" s="13" t="s">
        <v>578</v>
      </c>
      <c r="L13" s="13" t="b">
        <f t="shared" si="3"/>
        <v>1</v>
      </c>
      <c r="M13" s="13" t="s">
        <v>578</v>
      </c>
      <c r="N13" s="13" t="b">
        <f t="shared" si="17"/>
        <v>1</v>
      </c>
      <c r="O13" s="13" t="s">
        <v>578</v>
      </c>
      <c r="P13" s="13" t="b">
        <f t="shared" si="18"/>
        <v>1</v>
      </c>
      <c r="Q13" s="13" t="s">
        <v>578</v>
      </c>
      <c r="R13" s="13" t="b">
        <f t="shared" si="6"/>
        <v>1</v>
      </c>
      <c r="S13" s="13" t="s">
        <v>251</v>
      </c>
      <c r="T13" s="13" t="b">
        <f t="shared" si="7"/>
        <v>0</v>
      </c>
      <c r="U13" s="13" t="str">
        <f t="shared" si="27"/>
        <v>Least privilege integration accounts:FALSE</v>
      </c>
    </row>
    <row r="14" spans="1:21" ht="16.2" thickBot="1">
      <c r="A14" s="12" t="s">
        <v>578</v>
      </c>
      <c r="B14" s="13" t="b">
        <f t="shared" si="15"/>
        <v>1</v>
      </c>
      <c r="C14" s="13" t="s">
        <v>578</v>
      </c>
      <c r="D14" s="13" t="b" cm="1">
        <f t="array" ref="D14">IF(C14="Any",TRUE,ClientType=C14)</f>
        <v>1</v>
      </c>
      <c r="E14" s="13" t="s">
        <v>579</v>
      </c>
      <c r="F14" s="13" t="b">
        <f t="shared" si="1"/>
        <v>0</v>
      </c>
      <c r="G14" s="13" t="s">
        <v>578</v>
      </c>
      <c r="H14" s="13" t="b">
        <f t="shared" si="16"/>
        <v>1</v>
      </c>
      <c r="I14" s="13" t="s">
        <v>578</v>
      </c>
      <c r="J14" s="13" t="b">
        <f t="shared" si="26"/>
        <v>1</v>
      </c>
      <c r="K14" s="13" t="s">
        <v>578</v>
      </c>
      <c r="L14" s="13" t="b">
        <f t="shared" si="3"/>
        <v>1</v>
      </c>
      <c r="M14" s="13" t="s">
        <v>578</v>
      </c>
      <c r="N14" s="13" t="b">
        <f t="shared" si="17"/>
        <v>1</v>
      </c>
      <c r="O14" s="13" t="s">
        <v>578</v>
      </c>
      <c r="P14" s="13" t="b">
        <f t="shared" si="18"/>
        <v>1</v>
      </c>
      <c r="Q14" s="13" t="s">
        <v>578</v>
      </c>
      <c r="R14" s="13" t="b">
        <f t="shared" si="6"/>
        <v>1</v>
      </c>
      <c r="S14" s="13" t="s">
        <v>254</v>
      </c>
      <c r="T14" s="13" t="b">
        <f t="shared" si="7"/>
        <v>0</v>
      </c>
      <c r="U14" s="13" t="str">
        <f t="shared" si="27"/>
        <v>Strong integration credentials:FALSE</v>
      </c>
    </row>
    <row r="15" spans="1:21" ht="16.2" thickBot="1">
      <c r="A15" s="12" t="s">
        <v>578</v>
      </c>
      <c r="B15" s="13" t="b">
        <f t="shared" si="15"/>
        <v>1</v>
      </c>
      <c r="C15" s="13" t="s">
        <v>578</v>
      </c>
      <c r="D15" s="13" t="b" cm="1">
        <f t="array" ref="D15">IF(C15="Any",TRUE,ClientType=C15)</f>
        <v>1</v>
      </c>
      <c r="E15" s="13" t="s">
        <v>578</v>
      </c>
      <c r="F15" s="13" t="b">
        <f t="shared" si="1"/>
        <v>1</v>
      </c>
      <c r="G15" s="13" t="s">
        <v>578</v>
      </c>
      <c r="H15" s="13" t="b">
        <f t="shared" si="16"/>
        <v>1</v>
      </c>
      <c r="I15" s="13" t="s">
        <v>578</v>
      </c>
      <c r="J15" s="13" t="b">
        <f t="shared" si="2"/>
        <v>1</v>
      </c>
      <c r="K15" s="13" t="s">
        <v>578</v>
      </c>
      <c r="L15" s="13" t="b">
        <f t="shared" si="3"/>
        <v>1</v>
      </c>
      <c r="M15" s="13" t="s">
        <v>578</v>
      </c>
      <c r="N15" s="13" t="b">
        <f t="shared" si="17"/>
        <v>1</v>
      </c>
      <c r="O15" s="13" t="s">
        <v>578</v>
      </c>
      <c r="P15" s="13" t="b">
        <f t="shared" si="18"/>
        <v>1</v>
      </c>
      <c r="Q15" s="13" t="s">
        <v>578</v>
      </c>
      <c r="R15" s="13" t="b">
        <f t="shared" si="6"/>
        <v>1</v>
      </c>
      <c r="S15" s="13" t="s">
        <v>322</v>
      </c>
      <c r="T15" s="13" t="b">
        <f t="shared" si="7"/>
        <v>1</v>
      </c>
      <c r="U15" s="13" t="str">
        <f>CONCATENATE(S15,":",T15)</f>
        <v>Security hardened configuration:TRUE</v>
      </c>
    </row>
    <row r="16" spans="1:21" ht="16.2" thickBot="1">
      <c r="A16" s="12" t="s">
        <v>578</v>
      </c>
      <c r="B16" s="13" t="b">
        <f t="shared" ref="B16" si="28">IF(A16="Any",TRUE,Management=A16)</f>
        <v>1</v>
      </c>
      <c r="C16" s="13" t="s">
        <v>578</v>
      </c>
      <c r="D16" s="13" t="b" cm="1">
        <f t="array" ref="D16">IF(C16="Any",TRUE,ClientType=C16)</f>
        <v>1</v>
      </c>
      <c r="E16" s="13" t="s">
        <v>578</v>
      </c>
      <c r="F16" s="13" t="b">
        <f t="shared" si="1"/>
        <v>1</v>
      </c>
      <c r="G16" s="13" t="s">
        <v>578</v>
      </c>
      <c r="H16" s="13" t="b">
        <f t="shared" ref="H16" si="29">IF(G16="Any",TRUE,Software=G16)</f>
        <v>1</v>
      </c>
      <c r="I16" s="13" t="s">
        <v>578</v>
      </c>
      <c r="J16" s="13" t="b">
        <f t="shared" si="2"/>
        <v>1</v>
      </c>
      <c r="K16" s="13" t="s">
        <v>578</v>
      </c>
      <c r="L16" s="13" t="b">
        <f t="shared" si="3"/>
        <v>1</v>
      </c>
      <c r="M16" s="13" t="s">
        <v>578</v>
      </c>
      <c r="N16" s="13" t="b">
        <f t="shared" si="17"/>
        <v>1</v>
      </c>
      <c r="O16" s="13" t="s">
        <v>578</v>
      </c>
      <c r="P16" s="13" t="b">
        <f t="shared" ref="P16" si="30">IF(O16="Any",TRUE,Integrity=O16)</f>
        <v>1</v>
      </c>
      <c r="Q16" s="13" t="s">
        <v>578</v>
      </c>
      <c r="R16" s="13" t="b">
        <f t="shared" si="6"/>
        <v>1</v>
      </c>
      <c r="S16" s="13" t="s">
        <v>222</v>
      </c>
      <c r="T16" s="13" t="b">
        <f t="shared" si="7"/>
        <v>1</v>
      </c>
      <c r="U16" s="13" t="str">
        <f t="shared" ref="U16" si="31">CONCATENATE(S16,":",T16)</f>
        <v>Secure non-production environments:TRUE</v>
      </c>
    </row>
    <row r="17" spans="1:21" ht="16.2" thickBot="1">
      <c r="A17" s="12" t="s">
        <v>578</v>
      </c>
      <c r="B17" s="13" t="b">
        <f t="shared" ref="B17" si="32">IF(A17="Any",TRUE,Management=A17)</f>
        <v>1</v>
      </c>
      <c r="C17" s="13" t="s">
        <v>578</v>
      </c>
      <c r="D17" s="13" t="b" cm="1">
        <f t="array" ref="D17">IF(C17="Any",TRUE,ClientType=C17)</f>
        <v>1</v>
      </c>
      <c r="E17" s="13" t="s">
        <v>578</v>
      </c>
      <c r="F17" s="13" t="b">
        <f t="shared" ref="F17" si="33">IF(E17="Any",TRUE,HasIntegrations=E17)</f>
        <v>1</v>
      </c>
      <c r="G17" s="13" t="s">
        <v>578</v>
      </c>
      <c r="H17" s="13" t="b">
        <f t="shared" ref="H17" si="34">IF(G17="Any",TRUE,Software=G17)</f>
        <v>1</v>
      </c>
      <c r="I17" s="13" t="s">
        <v>578</v>
      </c>
      <c r="J17" s="13" t="b">
        <f t="shared" ref="J17" si="35">IF(I17="Any",TRUE,Software=I17)</f>
        <v>1</v>
      </c>
      <c r="K17" s="13" t="s">
        <v>578</v>
      </c>
      <c r="L17" s="13" t="b">
        <f t="shared" ref="L17" si="36">IF(K17="Any",TRUE,ApplicationTier=K17)</f>
        <v>1</v>
      </c>
      <c r="M17" s="13" t="s">
        <v>578</v>
      </c>
      <c r="N17" s="13" t="b">
        <f t="shared" ref="N17" si="37">IF(M17="Any",TRUE,Confidentiality=M17)</f>
        <v>1</v>
      </c>
      <c r="O17" s="13" t="s">
        <v>578</v>
      </c>
      <c r="P17" s="13" t="b">
        <f t="shared" ref="P17" si="38">IF(O17="Any",TRUE,Integrity=O17)</f>
        <v>1</v>
      </c>
      <c r="Q17" s="13" t="s">
        <v>578</v>
      </c>
      <c r="R17" s="13" t="b">
        <f t="shared" ref="R17" si="39">IF(Q17="Any",TRUE,Availability=Q17)</f>
        <v>1</v>
      </c>
      <c r="S17" s="13" t="s">
        <v>150</v>
      </c>
      <c r="T17" s="13" t="b">
        <f t="shared" ref="T17" si="40">AND(B17,D17,F17,H17,J17,L17,N17,P17,R17)</f>
        <v>1</v>
      </c>
      <c r="U17" s="13" t="str">
        <f t="shared" ref="U17" si="41">CONCATENATE(S17,":",T17)</f>
        <v>Operating documentation:TRUE</v>
      </c>
    </row>
    <row r="18" spans="1:21" ht="31.8" thickBot="1">
      <c r="A18" s="12" t="s">
        <v>578</v>
      </c>
      <c r="B18" s="13" t="b">
        <f t="shared" si="0"/>
        <v>1</v>
      </c>
      <c r="C18" s="13" t="s">
        <v>578</v>
      </c>
      <c r="D18" s="13" t="b" cm="1">
        <f t="array" ref="D18">IF(C18="Any",TRUE,ClientType=C18)</f>
        <v>1</v>
      </c>
      <c r="E18" s="13" t="s">
        <v>578</v>
      </c>
      <c r="F18" s="13" t="b">
        <f t="shared" si="1"/>
        <v>1</v>
      </c>
      <c r="G18" s="13" t="s">
        <v>578</v>
      </c>
      <c r="H18" s="13" t="b">
        <f t="shared" si="2"/>
        <v>1</v>
      </c>
      <c r="I18" s="13" t="s">
        <v>578</v>
      </c>
      <c r="J18" s="13" t="b">
        <f t="shared" si="2"/>
        <v>1</v>
      </c>
      <c r="K18" s="13" t="s">
        <v>379</v>
      </c>
      <c r="L18" s="13" t="b">
        <f t="shared" si="3"/>
        <v>0</v>
      </c>
      <c r="M18" s="13" t="s">
        <v>578</v>
      </c>
      <c r="N18" s="13" t="b">
        <f t="shared" si="4"/>
        <v>1</v>
      </c>
      <c r="O18" s="13" t="s">
        <v>578</v>
      </c>
      <c r="P18" s="13" t="b">
        <f t="shared" si="5"/>
        <v>1</v>
      </c>
      <c r="Q18" s="13" t="s">
        <v>578</v>
      </c>
      <c r="R18" s="13" t="b">
        <f t="shared" si="6"/>
        <v>1</v>
      </c>
      <c r="S18" s="13" t="s">
        <v>113</v>
      </c>
      <c r="T18" s="13" t="b">
        <f t="shared" si="7"/>
        <v>0</v>
      </c>
      <c r="U18" s="13" t="str">
        <f t="shared" si="8"/>
        <v>User access audit (annual) or automated access and privileges management:FALSE</v>
      </c>
    </row>
    <row r="19" spans="1:21" ht="31.8" thickBot="1">
      <c r="A19" s="12" t="s">
        <v>578</v>
      </c>
      <c r="B19" s="13" t="b">
        <f t="shared" si="0"/>
        <v>1</v>
      </c>
      <c r="C19" s="13" t="s">
        <v>578</v>
      </c>
      <c r="D19" s="13" t="b" cm="1">
        <f t="array" ref="D19">IF(C19="Any",TRUE,ClientType=C19)</f>
        <v>1</v>
      </c>
      <c r="E19" s="13" t="s">
        <v>578</v>
      </c>
      <c r="F19" s="13" t="b">
        <f t="shared" si="1"/>
        <v>1</v>
      </c>
      <c r="G19" s="13" t="s">
        <v>578</v>
      </c>
      <c r="H19" s="13" t="b">
        <f t="shared" si="2"/>
        <v>1</v>
      </c>
      <c r="I19" s="13" t="s">
        <v>578</v>
      </c>
      <c r="J19" s="13" t="b">
        <f t="shared" si="2"/>
        <v>1</v>
      </c>
      <c r="K19" s="13" t="s">
        <v>385</v>
      </c>
      <c r="L19" s="13" t="b">
        <f t="shared" si="3"/>
        <v>0</v>
      </c>
      <c r="M19" s="13" t="s">
        <v>578</v>
      </c>
      <c r="N19" s="13" t="b">
        <f t="shared" si="4"/>
        <v>1</v>
      </c>
      <c r="O19" s="13" t="s">
        <v>578</v>
      </c>
      <c r="P19" s="13" t="b">
        <f t="shared" si="5"/>
        <v>1</v>
      </c>
      <c r="Q19" s="13" t="s">
        <v>578</v>
      </c>
      <c r="R19" s="13" t="b">
        <f t="shared" si="6"/>
        <v>1</v>
      </c>
      <c r="S19" s="13" t="s">
        <v>116</v>
      </c>
      <c r="T19" s="13" t="b">
        <f t="shared" si="7"/>
        <v>0</v>
      </c>
      <c r="U19" s="13" t="str">
        <f t="shared" si="8"/>
        <v>User access audit (bi-annual) or automated access and privileges management:FALSE</v>
      </c>
    </row>
    <row r="20" spans="1:21" ht="31.8" thickBot="1">
      <c r="A20" s="12" t="s">
        <v>578</v>
      </c>
      <c r="B20" s="13" t="b">
        <f t="shared" si="0"/>
        <v>1</v>
      </c>
      <c r="C20" s="13" t="s">
        <v>578</v>
      </c>
      <c r="D20" s="13" t="b" cm="1">
        <f t="array" ref="D20">IF(C20="Any",TRUE,ClientType=C20)</f>
        <v>1</v>
      </c>
      <c r="E20" s="13" t="s">
        <v>578</v>
      </c>
      <c r="F20" s="13" t="b">
        <f t="shared" si="1"/>
        <v>1</v>
      </c>
      <c r="G20" s="13" t="s">
        <v>578</v>
      </c>
      <c r="H20" s="13" t="b">
        <f t="shared" si="2"/>
        <v>1</v>
      </c>
      <c r="I20" s="13" t="s">
        <v>578</v>
      </c>
      <c r="J20" s="13" t="b">
        <f t="shared" si="2"/>
        <v>1</v>
      </c>
      <c r="K20" s="13" t="s">
        <v>389</v>
      </c>
      <c r="L20" s="13" t="b">
        <f t="shared" si="3"/>
        <v>1</v>
      </c>
      <c r="M20" s="13" t="s">
        <v>578</v>
      </c>
      <c r="N20" s="13" t="b">
        <f t="shared" si="4"/>
        <v>1</v>
      </c>
      <c r="O20" s="13" t="s">
        <v>578</v>
      </c>
      <c r="P20" s="13" t="b">
        <f t="shared" si="5"/>
        <v>1</v>
      </c>
      <c r="Q20" s="13" t="s">
        <v>578</v>
      </c>
      <c r="R20" s="13" t="b">
        <f t="shared" si="6"/>
        <v>1</v>
      </c>
      <c r="S20" s="13" t="s">
        <v>119</v>
      </c>
      <c r="T20" s="13" t="b">
        <f t="shared" si="7"/>
        <v>1</v>
      </c>
      <c r="U20" s="13" t="str">
        <f t="shared" si="8"/>
        <v>User access audit (quarterly) or automated access and privileges management:TRUE</v>
      </c>
    </row>
    <row r="21" spans="1:21" ht="31.8" thickBot="1">
      <c r="A21" s="12" t="s">
        <v>578</v>
      </c>
      <c r="B21" s="13" t="b">
        <f t="shared" ref="B21" si="42">IF(A21="Any",TRUE,Management=A21)</f>
        <v>1</v>
      </c>
      <c r="C21" s="13" t="s">
        <v>578</v>
      </c>
      <c r="D21" s="13" t="b" cm="1">
        <f t="array" ref="D21">IF(C21="Any",TRUE,ClientType=C21)</f>
        <v>1</v>
      </c>
      <c r="E21" s="13" t="s">
        <v>578</v>
      </c>
      <c r="F21" s="13" t="b">
        <f t="shared" ref="F21" si="43">IF(E21="Any",TRUE,HasIntegrations=E21)</f>
        <v>1</v>
      </c>
      <c r="G21" s="13" t="s">
        <v>578</v>
      </c>
      <c r="H21" s="13" t="b">
        <f t="shared" ref="H21" si="44">IF(G21="Any",TRUE,Software=G21)</f>
        <v>1</v>
      </c>
      <c r="I21" s="13" t="s">
        <v>578</v>
      </c>
      <c r="J21" s="13" t="b">
        <f t="shared" ref="J21" si="45">IF(I21="Any",TRUE,Software=I21)</f>
        <v>1</v>
      </c>
      <c r="K21" s="13" t="s">
        <v>395</v>
      </c>
      <c r="L21" s="13" t="b">
        <f t="shared" si="3"/>
        <v>0</v>
      </c>
      <c r="M21" s="13" t="s">
        <v>578</v>
      </c>
      <c r="N21" s="13" t="b">
        <f t="shared" ref="N21" si="46">IF(M21="Any",TRUE,Confidentiality=M21)</f>
        <v>1</v>
      </c>
      <c r="O21" s="13" t="s">
        <v>578</v>
      </c>
      <c r="P21" s="13" t="b">
        <f t="shared" ref="P21" si="47">IF(O21="Any",TRUE,Integrity=O21)</f>
        <v>1</v>
      </c>
      <c r="Q21" s="13" t="s">
        <v>578</v>
      </c>
      <c r="R21" s="13" t="b">
        <f t="shared" si="6"/>
        <v>1</v>
      </c>
      <c r="S21" s="13" t="s">
        <v>119</v>
      </c>
      <c r="T21" s="13" t="b">
        <f t="shared" ref="T21" si="48">AND(B21,D21,F21,H21,J21,L21,N21,P21,R21)</f>
        <v>0</v>
      </c>
      <c r="U21" s="13" t="str">
        <f t="shared" ref="U21" si="49">CONCATENATE(S21,":",T21)</f>
        <v>User access audit (quarterly) or automated access and privileges management:FALSE</v>
      </c>
    </row>
    <row r="22" spans="1:21" ht="16.2" thickBot="1">
      <c r="A22" s="12" t="s">
        <v>578</v>
      </c>
      <c r="B22" s="13" t="b">
        <f t="shared" si="0"/>
        <v>1</v>
      </c>
      <c r="C22" s="13" t="s">
        <v>578</v>
      </c>
      <c r="D22" s="13" t="b" cm="1">
        <f t="array" ref="D22">IF(C22="Any",TRUE,ClientType=C22)</f>
        <v>1</v>
      </c>
      <c r="E22" s="13" t="s">
        <v>578</v>
      </c>
      <c r="F22" s="13" t="b">
        <f t="shared" si="1"/>
        <v>1</v>
      </c>
      <c r="G22" s="13" t="s">
        <v>578</v>
      </c>
      <c r="H22" s="13" t="b">
        <f t="shared" si="2"/>
        <v>1</v>
      </c>
      <c r="I22" s="13" t="s">
        <v>578</v>
      </c>
      <c r="J22" s="13" t="b">
        <f t="shared" si="2"/>
        <v>1</v>
      </c>
      <c r="K22" s="13" t="s">
        <v>578</v>
      </c>
      <c r="L22" s="13" t="b">
        <f t="shared" si="3"/>
        <v>1</v>
      </c>
      <c r="M22" s="13" t="s">
        <v>393</v>
      </c>
      <c r="N22" s="13" t="b">
        <f t="shared" si="4"/>
        <v>0</v>
      </c>
      <c r="O22" s="13" t="s">
        <v>578</v>
      </c>
      <c r="P22" s="13" t="b">
        <f t="shared" si="5"/>
        <v>1</v>
      </c>
      <c r="Q22" s="13" t="s">
        <v>578</v>
      </c>
      <c r="R22" s="13" t="b">
        <f t="shared" si="6"/>
        <v>1</v>
      </c>
      <c r="S22" s="13" t="s">
        <v>185</v>
      </c>
      <c r="T22" s="13" t="b">
        <f t="shared" si="7"/>
        <v>0</v>
      </c>
      <c r="U22" s="13" t="str">
        <f t="shared" si="8"/>
        <v>Data retention policy:FALSE</v>
      </c>
    </row>
    <row r="23" spans="1:21" ht="16.2" thickBot="1">
      <c r="A23" s="12" t="s">
        <v>578</v>
      </c>
      <c r="B23" s="13" t="b">
        <f t="shared" ref="B23:B24" si="50">IF(A23="Any",TRUE,Management=A23)</f>
        <v>1</v>
      </c>
      <c r="C23" s="13" t="s">
        <v>578</v>
      </c>
      <c r="D23" s="13" t="b" cm="1">
        <f t="array" ref="D23">IF(C23="Any",TRUE,ClientType=C23)</f>
        <v>1</v>
      </c>
      <c r="E23" s="13" t="s">
        <v>578</v>
      </c>
      <c r="F23" s="13" t="b">
        <f t="shared" si="1"/>
        <v>1</v>
      </c>
      <c r="G23" s="13" t="s">
        <v>578</v>
      </c>
      <c r="H23" s="13" t="b">
        <f t="shared" ref="H23:H24" si="51">IF(G23="Any",TRUE,Software=G23)</f>
        <v>1</v>
      </c>
      <c r="I23" s="13" t="s">
        <v>578</v>
      </c>
      <c r="J23" s="13" t="b">
        <f t="shared" ref="J23:J24" si="52">IF(I23="Any",TRUE,Software=I23)</f>
        <v>1</v>
      </c>
      <c r="K23" s="13" t="s">
        <v>578</v>
      </c>
      <c r="L23" s="13" t="b">
        <f t="shared" si="3"/>
        <v>1</v>
      </c>
      <c r="M23" s="13" t="s">
        <v>42</v>
      </c>
      <c r="N23" s="13" t="b">
        <f t="shared" ref="N23:N24" si="53">IF(M23="Any",TRUE,Confidentiality=M23)</f>
        <v>1</v>
      </c>
      <c r="O23" s="13" t="s">
        <v>578</v>
      </c>
      <c r="P23" s="13" t="b">
        <f t="shared" ref="P23:P24" si="54">IF(O23="Any",TRUE,Integrity=O23)</f>
        <v>1</v>
      </c>
      <c r="Q23" s="13" t="s">
        <v>578</v>
      </c>
      <c r="R23" s="13" t="b">
        <f t="shared" si="6"/>
        <v>1</v>
      </c>
      <c r="S23" s="13" t="s">
        <v>182</v>
      </c>
      <c r="T23" s="13" t="b">
        <f t="shared" si="7"/>
        <v>1</v>
      </c>
      <c r="U23" s="13" t="str">
        <f t="shared" ref="U23:U24" si="55">CONCATENATE(S23,":",T23)</f>
        <v>Data purging and archival:TRUE</v>
      </c>
    </row>
    <row r="24" spans="1:21" ht="16.2" thickBot="1">
      <c r="A24" s="12" t="s">
        <v>578</v>
      </c>
      <c r="B24" s="13" t="b">
        <f t="shared" si="50"/>
        <v>1</v>
      </c>
      <c r="C24" s="13" t="s">
        <v>578</v>
      </c>
      <c r="D24" s="13" t="b" cm="1">
        <f t="array" ref="D24">IF(C24="Any",TRUE,ClientType=C24)</f>
        <v>1</v>
      </c>
      <c r="E24" s="13" t="s">
        <v>578</v>
      </c>
      <c r="F24" s="13" t="b">
        <f t="shared" si="1"/>
        <v>1</v>
      </c>
      <c r="G24" s="13" t="s">
        <v>578</v>
      </c>
      <c r="H24" s="13" t="b">
        <f t="shared" si="51"/>
        <v>1</v>
      </c>
      <c r="I24" s="13" t="s">
        <v>578</v>
      </c>
      <c r="J24" s="13" t="b">
        <f t="shared" si="52"/>
        <v>1</v>
      </c>
      <c r="K24" s="13" t="s">
        <v>578</v>
      </c>
      <c r="L24" s="13" t="b">
        <f t="shared" si="3"/>
        <v>1</v>
      </c>
      <c r="M24" s="13" t="s">
        <v>393</v>
      </c>
      <c r="N24" s="13" t="b">
        <f t="shared" si="53"/>
        <v>0</v>
      </c>
      <c r="O24" s="13" t="s">
        <v>578</v>
      </c>
      <c r="P24" s="13" t="b">
        <f t="shared" si="54"/>
        <v>1</v>
      </c>
      <c r="Q24" s="13" t="s">
        <v>578</v>
      </c>
      <c r="R24" s="13" t="b">
        <f t="shared" si="6"/>
        <v>1</v>
      </c>
      <c r="S24" s="13" t="s">
        <v>182</v>
      </c>
      <c r="T24" s="13" t="b">
        <f t="shared" si="7"/>
        <v>0</v>
      </c>
      <c r="U24" s="13" t="str">
        <f t="shared" si="55"/>
        <v>Data purging and archival:FALSE</v>
      </c>
    </row>
    <row r="25" spans="1:21" ht="16.2" thickBot="1">
      <c r="A25" s="12" t="s">
        <v>578</v>
      </c>
      <c r="B25" s="13" t="b">
        <f>IF(A25="Any",TRUE,Management=A25)</f>
        <v>1</v>
      </c>
      <c r="C25" s="13" t="s">
        <v>578</v>
      </c>
      <c r="D25" s="13" t="b" cm="1">
        <f t="array" ref="D25">IF(C25="Any",TRUE,ClientType=C25)</f>
        <v>1</v>
      </c>
      <c r="E25" s="13" t="s">
        <v>578</v>
      </c>
      <c r="F25" s="13" t="b">
        <f t="shared" si="1"/>
        <v>1</v>
      </c>
      <c r="G25" s="13" t="s">
        <v>578</v>
      </c>
      <c r="H25" s="13" t="b">
        <f>IF(G25="Any",TRUE,Software=G25)</f>
        <v>1</v>
      </c>
      <c r="I25" s="13" t="s">
        <v>578</v>
      </c>
      <c r="J25" s="13" t="b">
        <f t="shared" si="2"/>
        <v>1</v>
      </c>
      <c r="K25" s="13" t="s">
        <v>578</v>
      </c>
      <c r="L25" s="13" t="b">
        <f t="shared" si="3"/>
        <v>1</v>
      </c>
      <c r="M25" s="13" t="s">
        <v>578</v>
      </c>
      <c r="N25" s="13" t="b">
        <f>IF(M25="Any",TRUE,Confidentiality=M25)</f>
        <v>1</v>
      </c>
      <c r="O25" s="13" t="s">
        <v>578</v>
      </c>
      <c r="P25" s="13" t="b">
        <f>IF(O25="Any",TRUE,Integrity=O25)</f>
        <v>1</v>
      </c>
      <c r="Q25" s="13" t="s">
        <v>578</v>
      </c>
      <c r="R25" s="13" t="b">
        <f t="shared" si="6"/>
        <v>1</v>
      </c>
      <c r="S25" s="13" t="s">
        <v>195</v>
      </c>
      <c r="T25" s="13" t="b">
        <f t="shared" si="7"/>
        <v>1</v>
      </c>
      <c r="U25" s="13" t="str">
        <f>CONCATENATE(S25,":",T25)</f>
        <v>Application security logging:TRUE</v>
      </c>
    </row>
    <row r="26" spans="1:21" ht="16.2" thickBot="1">
      <c r="A26" s="12" t="s">
        <v>578</v>
      </c>
      <c r="B26" s="13" t="b">
        <f>IF(A26="Any",TRUE,Management=A26)</f>
        <v>1</v>
      </c>
      <c r="C26" s="13" t="s">
        <v>578</v>
      </c>
      <c r="D26" s="13" t="b" cm="1">
        <f t="array" ref="D26">IF(C26="Any",TRUE,ClientType=C26)</f>
        <v>1</v>
      </c>
      <c r="E26" s="13" t="s">
        <v>578</v>
      </c>
      <c r="F26" s="13" t="b">
        <f t="shared" si="1"/>
        <v>1</v>
      </c>
      <c r="G26" s="13" t="s">
        <v>578</v>
      </c>
      <c r="H26" s="13" t="b">
        <f>IF(G26="Any",TRUE,Software=G26)</f>
        <v>1</v>
      </c>
      <c r="I26" s="13" t="s">
        <v>578</v>
      </c>
      <c r="J26" s="13" t="b">
        <f t="shared" si="2"/>
        <v>1</v>
      </c>
      <c r="K26" s="13" t="s">
        <v>395</v>
      </c>
      <c r="L26" s="13" t="b">
        <f t="shared" si="3"/>
        <v>0</v>
      </c>
      <c r="M26" s="13" t="s">
        <v>578</v>
      </c>
      <c r="N26" s="13" t="b">
        <f>IF(M26="Any",TRUE,Confidentiality=M26)</f>
        <v>1</v>
      </c>
      <c r="O26" s="13" t="s">
        <v>578</v>
      </c>
      <c r="P26" s="13" t="b">
        <f>IF(O26="Any",TRUE,Integrity=O26)</f>
        <v>1</v>
      </c>
      <c r="Q26" s="13" t="s">
        <v>578</v>
      </c>
      <c r="R26" s="13" t="b">
        <f t="shared" si="6"/>
        <v>1</v>
      </c>
      <c r="S26" s="13" t="s">
        <v>201</v>
      </c>
      <c r="T26" s="13" t="b">
        <f t="shared" si="7"/>
        <v>0</v>
      </c>
      <c r="U26" s="13" t="str">
        <f>CONCATENATE(S26,":",T26)</f>
        <v>Security monitoring of all users:FALSE</v>
      </c>
    </row>
    <row r="27" spans="1:21" ht="16.2" thickBot="1">
      <c r="A27" s="12" t="s">
        <v>578</v>
      </c>
      <c r="B27" s="13" t="b">
        <f>IF(A27="Any",TRUE,Management=A27)</f>
        <v>1</v>
      </c>
      <c r="C27" s="13" t="s">
        <v>578</v>
      </c>
      <c r="D27" s="13" t="b" cm="1">
        <f t="array" ref="D27">IF(C27="Any",TRUE,ClientType=C27)</f>
        <v>1</v>
      </c>
      <c r="E27" s="13" t="s">
        <v>578</v>
      </c>
      <c r="F27" s="13" t="b">
        <f t="shared" ref="F27" si="56">IF(E27="Any",TRUE,HasIntegrations=E27)</f>
        <v>1</v>
      </c>
      <c r="G27" s="13" t="s">
        <v>578</v>
      </c>
      <c r="H27" s="13" t="b">
        <f>IF(G27="Any",TRUE,Software=G27)</f>
        <v>1</v>
      </c>
      <c r="I27" s="13" t="s">
        <v>578</v>
      </c>
      <c r="J27" s="13" t="b">
        <f t="shared" ref="J27" si="57">IF(I27="Any",TRUE,Software=I27)</f>
        <v>1</v>
      </c>
      <c r="K27" s="13" t="s">
        <v>389</v>
      </c>
      <c r="L27" s="13" t="b">
        <f t="shared" si="3"/>
        <v>1</v>
      </c>
      <c r="M27" s="13" t="s">
        <v>578</v>
      </c>
      <c r="N27" s="13" t="b">
        <f>IF(M27="Any",TRUE,Confidentiality=M27)</f>
        <v>1</v>
      </c>
      <c r="O27" s="13" t="s">
        <v>578</v>
      </c>
      <c r="P27" s="13" t="b">
        <f>IF(O27="Any",TRUE,Integrity=O27)</f>
        <v>1</v>
      </c>
      <c r="Q27" s="13" t="s">
        <v>578</v>
      </c>
      <c r="R27" s="13" t="b">
        <f t="shared" si="6"/>
        <v>1</v>
      </c>
      <c r="S27" s="13" t="s">
        <v>201</v>
      </c>
      <c r="T27" s="13" t="b">
        <f t="shared" ref="T27" si="58">AND(B27,D27,F27,H27,J27,L27,N27,P27,R27)</f>
        <v>1</v>
      </c>
      <c r="U27" s="13" t="str">
        <f>CONCATENATE(S27,":",T27)</f>
        <v>Security monitoring of all users:TRUE</v>
      </c>
    </row>
    <row r="28" spans="1:21" ht="16.2" thickBot="1">
      <c r="A28" s="12" t="s">
        <v>578</v>
      </c>
      <c r="B28" s="13" t="b">
        <f>IF(A28="Any",TRUE,Management=A28)</f>
        <v>1</v>
      </c>
      <c r="C28" s="13" t="s">
        <v>578</v>
      </c>
      <c r="D28" s="13" t="b" cm="1">
        <f t="array" ref="D28">IF(C28="Any",TRUE,ClientType=C28)</f>
        <v>1</v>
      </c>
      <c r="E28" s="13" t="s">
        <v>578</v>
      </c>
      <c r="F28" s="13" t="b">
        <f t="shared" ref="F28" si="59">IF(E28="Any",TRUE,HasIntegrations=E28)</f>
        <v>1</v>
      </c>
      <c r="G28" s="13" t="s">
        <v>578</v>
      </c>
      <c r="H28" s="13" t="b">
        <f>IF(G28="Any",TRUE,Software=G28)</f>
        <v>1</v>
      </c>
      <c r="I28" s="13" t="s">
        <v>578</v>
      </c>
      <c r="J28" s="13" t="b">
        <f t="shared" ref="J28" si="60">IF(I28="Any",TRUE,Software=I28)</f>
        <v>1</v>
      </c>
      <c r="K28" s="13" t="s">
        <v>385</v>
      </c>
      <c r="L28" s="13" t="b">
        <f t="shared" ref="L28" si="61">IF(K28="Any",TRUE,ApplicationTier=K28)</f>
        <v>0</v>
      </c>
      <c r="M28" s="13" t="s">
        <v>578</v>
      </c>
      <c r="N28" s="13" t="b">
        <f>IF(M28="Any",TRUE,Confidentiality=M28)</f>
        <v>1</v>
      </c>
      <c r="O28" s="13" t="s">
        <v>578</v>
      </c>
      <c r="P28" s="13" t="b">
        <f>IF(O28="Any",TRUE,Integrity=O28)</f>
        <v>1</v>
      </c>
      <c r="Q28" s="13" t="s">
        <v>578</v>
      </c>
      <c r="R28" s="13" t="b">
        <f t="shared" ref="R28" si="62">IF(Q28="Any",TRUE,Availability=Q28)</f>
        <v>1</v>
      </c>
      <c r="S28" s="13" t="s">
        <v>204</v>
      </c>
      <c r="T28" s="13" t="b">
        <f t="shared" ref="T28" si="63">AND(B28,D28,F28,H28,J28,L28,N28,P28,R28)</f>
        <v>0</v>
      </c>
      <c r="U28" s="13" t="str">
        <f>CONCATENATE(S28,":",T28)</f>
        <v>Security monitoring of privileged users:FALSE</v>
      </c>
    </row>
    <row r="29" spans="1:21" ht="16.2" thickBot="1">
      <c r="A29" s="12" t="s">
        <v>578</v>
      </c>
      <c r="B29" s="13" t="b">
        <f t="shared" si="0"/>
        <v>1</v>
      </c>
      <c r="C29" s="13" t="s">
        <v>578</v>
      </c>
      <c r="D29" s="13" t="b" cm="1">
        <f t="array" ref="D29">IF(C29="Any",TRUE,ClientType=C29)</f>
        <v>1</v>
      </c>
      <c r="E29" s="13" t="s">
        <v>578</v>
      </c>
      <c r="F29" s="13" t="b">
        <f t="shared" si="1"/>
        <v>1</v>
      </c>
      <c r="G29" s="13" t="s">
        <v>578</v>
      </c>
      <c r="H29" s="13" t="b">
        <f t="shared" si="2"/>
        <v>1</v>
      </c>
      <c r="I29" s="13" t="s">
        <v>578</v>
      </c>
      <c r="J29" s="13" t="b">
        <f t="shared" si="2"/>
        <v>1</v>
      </c>
      <c r="K29" s="13" t="s">
        <v>578</v>
      </c>
      <c r="L29" s="13" t="b">
        <f t="shared" si="3"/>
        <v>1</v>
      </c>
      <c r="M29" s="13" t="s">
        <v>578</v>
      </c>
      <c r="N29" s="13" t="b">
        <f t="shared" si="4"/>
        <v>1</v>
      </c>
      <c r="O29" s="13" t="s">
        <v>390</v>
      </c>
      <c r="P29" s="13" t="b">
        <f t="shared" si="5"/>
        <v>0</v>
      </c>
      <c r="Q29" s="13" t="s">
        <v>578</v>
      </c>
      <c r="R29" s="13" t="b">
        <f t="shared" si="6"/>
        <v>1</v>
      </c>
      <c r="S29" s="13" t="s">
        <v>581</v>
      </c>
      <c r="T29" s="13" t="b">
        <f t="shared" si="7"/>
        <v>0</v>
      </c>
      <c r="U29" s="13" t="str">
        <f t="shared" si="8"/>
        <v>User training:FALSE</v>
      </c>
    </row>
    <row r="30" spans="1:21" ht="16.2" thickBot="1">
      <c r="A30" s="12" t="s">
        <v>578</v>
      </c>
      <c r="B30" s="13" t="b">
        <f t="shared" ref="B30" si="64">IF(A30="Any",TRUE,Management=A30)</f>
        <v>1</v>
      </c>
      <c r="C30" s="13" t="s">
        <v>578</v>
      </c>
      <c r="D30" s="13" t="b" cm="1">
        <f t="array" ref="D30">IF(C30="Any",TRUE,ClientType=C30)</f>
        <v>1</v>
      </c>
      <c r="E30" s="13" t="s">
        <v>578</v>
      </c>
      <c r="F30" s="13" t="b">
        <f t="shared" ref="F30" si="65">IF(E30="Any",TRUE,HasIntegrations=E30)</f>
        <v>1</v>
      </c>
      <c r="G30" s="13" t="s">
        <v>578</v>
      </c>
      <c r="H30" s="13" t="b">
        <f t="shared" ref="H30" si="66">IF(G30="Any",TRUE,Software=G30)</f>
        <v>1</v>
      </c>
      <c r="I30" s="13" t="s">
        <v>578</v>
      </c>
      <c r="J30" s="13" t="b">
        <f t="shared" ref="J30" si="67">IF(I30="Any",TRUE,Software=I30)</f>
        <v>1</v>
      </c>
      <c r="K30" s="13" t="s">
        <v>578</v>
      </c>
      <c r="L30" s="13" t="b">
        <f t="shared" si="3"/>
        <v>1</v>
      </c>
      <c r="M30" s="13" t="s">
        <v>578</v>
      </c>
      <c r="N30" s="13" t="b">
        <f t="shared" ref="N30" si="68">IF(M30="Any",TRUE,Confidentiality=M30)</f>
        <v>1</v>
      </c>
      <c r="O30" s="13" t="s">
        <v>396</v>
      </c>
      <c r="P30" s="13" t="b">
        <f t="shared" ref="P30" si="69">IF(O30="Any",TRUE,Integrity=O30)</f>
        <v>0</v>
      </c>
      <c r="Q30" s="13" t="s">
        <v>578</v>
      </c>
      <c r="R30" s="13" t="b">
        <f t="shared" si="6"/>
        <v>1</v>
      </c>
      <c r="S30" s="13" t="s">
        <v>581</v>
      </c>
      <c r="T30" s="13" t="b">
        <f t="shared" ref="T30" si="70">AND(B30,D30,F30,H30,J30,L30,N30,P30,R30)</f>
        <v>0</v>
      </c>
      <c r="U30" s="13" t="str">
        <f t="shared" ref="U30" si="71">CONCATENATE(S30,":",T30)</f>
        <v>User training:FALSE</v>
      </c>
    </row>
    <row r="31" spans="1:21" ht="16.2" thickBot="1">
      <c r="A31" s="12" t="s">
        <v>578</v>
      </c>
      <c r="B31" s="13" t="b">
        <f t="shared" si="0"/>
        <v>1</v>
      </c>
      <c r="C31" s="13" t="s">
        <v>578</v>
      </c>
      <c r="D31" s="13" t="b" cm="1">
        <f t="array" ref="D31">IF(C31="Any",TRUE,ClientType=C31)</f>
        <v>1</v>
      </c>
      <c r="E31" s="13" t="s">
        <v>578</v>
      </c>
      <c r="F31" s="13" t="b">
        <f t="shared" si="1"/>
        <v>1</v>
      </c>
      <c r="G31" s="13" t="s">
        <v>578</v>
      </c>
      <c r="H31" s="13" t="b">
        <f t="shared" si="2"/>
        <v>1</v>
      </c>
      <c r="I31" s="13" t="s">
        <v>578</v>
      </c>
      <c r="J31" s="13" t="b">
        <f t="shared" si="2"/>
        <v>1</v>
      </c>
      <c r="K31" s="13" t="s">
        <v>578</v>
      </c>
      <c r="L31" s="13" t="b">
        <f t="shared" si="3"/>
        <v>1</v>
      </c>
      <c r="M31" s="13" t="s">
        <v>578</v>
      </c>
      <c r="N31" s="13" t="b">
        <f t="shared" si="4"/>
        <v>1</v>
      </c>
      <c r="O31" s="13" t="s">
        <v>390</v>
      </c>
      <c r="P31" s="13" t="b">
        <f t="shared" si="5"/>
        <v>0</v>
      </c>
      <c r="Q31" s="13" t="s">
        <v>578</v>
      </c>
      <c r="R31" s="13" t="b">
        <f t="shared" si="6"/>
        <v>1</v>
      </c>
      <c r="S31" s="13" t="s">
        <v>110</v>
      </c>
      <c r="T31" s="13" t="b">
        <f t="shared" si="7"/>
        <v>0</v>
      </c>
      <c r="U31" s="13" t="str">
        <f t="shared" si="8"/>
        <v>Separation of duties:FALSE</v>
      </c>
    </row>
    <row r="32" spans="1:21" ht="16.2" thickBot="1">
      <c r="A32" s="12" t="s">
        <v>578</v>
      </c>
      <c r="B32" s="13" t="b">
        <f t="shared" ref="B32" si="72">IF(A32="Any",TRUE,Management=A32)</f>
        <v>1</v>
      </c>
      <c r="C32" s="13" t="s">
        <v>578</v>
      </c>
      <c r="D32" s="13" t="b" cm="1">
        <f t="array" ref="D32">IF(C32="Any",TRUE,ClientType=C32)</f>
        <v>1</v>
      </c>
      <c r="E32" s="13" t="s">
        <v>578</v>
      </c>
      <c r="F32" s="13" t="b">
        <f t="shared" ref="F32" si="73">IF(E32="Any",TRUE,HasIntegrations=E32)</f>
        <v>1</v>
      </c>
      <c r="G32" s="13" t="s">
        <v>578</v>
      </c>
      <c r="H32" s="13" t="b">
        <f t="shared" ref="H32" si="74">IF(G32="Any",TRUE,Software=G32)</f>
        <v>1</v>
      </c>
      <c r="I32" s="13" t="s">
        <v>578</v>
      </c>
      <c r="J32" s="13" t="b">
        <f t="shared" ref="J32" si="75">IF(I32="Any",TRUE,Software=I32)</f>
        <v>1</v>
      </c>
      <c r="K32" s="13" t="s">
        <v>578</v>
      </c>
      <c r="L32" s="13" t="b">
        <f t="shared" si="3"/>
        <v>1</v>
      </c>
      <c r="M32" s="13" t="s">
        <v>578</v>
      </c>
      <c r="N32" s="13" t="b">
        <f t="shared" ref="N32" si="76">IF(M32="Any",TRUE,Confidentiality=M32)</f>
        <v>1</v>
      </c>
      <c r="O32" s="13" t="s">
        <v>396</v>
      </c>
      <c r="P32" s="13" t="b">
        <f t="shared" ref="P32" si="77">IF(O32="Any",TRUE,Integrity=O32)</f>
        <v>0</v>
      </c>
      <c r="Q32" s="13" t="s">
        <v>578</v>
      </c>
      <c r="R32" s="13" t="b">
        <f t="shared" si="6"/>
        <v>1</v>
      </c>
      <c r="S32" s="13" t="s">
        <v>110</v>
      </c>
      <c r="T32" s="13" t="b">
        <f t="shared" ref="T32" si="78">AND(B32,D32,F32,H32,J32,L32,N32,P32,R32)</f>
        <v>0</v>
      </c>
      <c r="U32" s="13" t="str">
        <f t="shared" ref="U32" si="79">CONCATENATE(S32,":",T32)</f>
        <v>Separation of duties:FALSE</v>
      </c>
    </row>
    <row r="33" spans="1:21" ht="31.8" thickBot="1">
      <c r="A33" s="12" t="s">
        <v>578</v>
      </c>
      <c r="B33" s="13" t="b">
        <f t="shared" si="0"/>
        <v>1</v>
      </c>
      <c r="C33" s="13" t="s">
        <v>578</v>
      </c>
      <c r="D33" s="13" t="b" cm="1">
        <f t="array" ref="D33">IF(C33="Any",TRUE,ClientType=C33)</f>
        <v>1</v>
      </c>
      <c r="E33" s="13" t="s">
        <v>578</v>
      </c>
      <c r="F33" s="13" t="b">
        <f t="shared" si="1"/>
        <v>1</v>
      </c>
      <c r="G33" s="13" t="s">
        <v>578</v>
      </c>
      <c r="H33" s="13" t="b">
        <f t="shared" si="2"/>
        <v>1</v>
      </c>
      <c r="I33" s="13" t="s">
        <v>578</v>
      </c>
      <c r="J33" s="13" t="b">
        <f t="shared" si="2"/>
        <v>1</v>
      </c>
      <c r="K33" s="13" t="s">
        <v>578</v>
      </c>
      <c r="L33" s="13" t="b">
        <f t="shared" si="3"/>
        <v>1</v>
      </c>
      <c r="M33" s="13" t="s">
        <v>578</v>
      </c>
      <c r="N33" s="13" t="b">
        <f t="shared" si="4"/>
        <v>1</v>
      </c>
      <c r="O33" s="13" t="s">
        <v>578</v>
      </c>
      <c r="P33" s="13" t="b">
        <f t="shared" si="5"/>
        <v>1</v>
      </c>
      <c r="Q33" s="13" t="s">
        <v>397</v>
      </c>
      <c r="R33" s="13" t="b">
        <f t="shared" si="6"/>
        <v>0</v>
      </c>
      <c r="S33" s="13" t="s">
        <v>225</v>
      </c>
      <c r="T33" s="13" t="b">
        <f t="shared" si="7"/>
        <v>0</v>
      </c>
      <c r="U33" s="13" t="str">
        <f t="shared" si="8"/>
        <v>Separate environments for development, testing, staging and operations:FALSE</v>
      </c>
    </row>
    <row r="34" spans="1:21" ht="31.8" thickBot="1">
      <c r="A34" s="12" t="s">
        <v>578</v>
      </c>
      <c r="B34" s="13" t="b">
        <f t="shared" ref="B34" si="80">IF(A34="Any",TRUE,Management=A34)</f>
        <v>1</v>
      </c>
      <c r="C34" s="13" t="s">
        <v>578</v>
      </c>
      <c r="D34" s="13" t="b" cm="1">
        <f t="array" ref="D34">IF(C34="Any",TRUE,ClientType=C34)</f>
        <v>1</v>
      </c>
      <c r="E34" s="13" t="s">
        <v>578</v>
      </c>
      <c r="F34" s="13" t="b">
        <f t="shared" si="1"/>
        <v>1</v>
      </c>
      <c r="G34" s="13" t="s">
        <v>578</v>
      </c>
      <c r="H34" s="13" t="b">
        <f t="shared" ref="H34" si="81">IF(G34="Any",TRUE,Software=G34)</f>
        <v>1</v>
      </c>
      <c r="I34" s="13" t="s">
        <v>578</v>
      </c>
      <c r="J34" s="13" t="b">
        <f t="shared" ref="J34:J109" si="82">IF(I34="Any",TRUE,Software=I34)</f>
        <v>1</v>
      </c>
      <c r="K34" s="13" t="s">
        <v>578</v>
      </c>
      <c r="L34" s="13" t="b">
        <f t="shared" si="3"/>
        <v>1</v>
      </c>
      <c r="M34" s="13" t="s">
        <v>578</v>
      </c>
      <c r="N34" s="13" t="b">
        <f t="shared" ref="N34" si="83">IF(M34="Any",TRUE,Confidentiality=M34)</f>
        <v>1</v>
      </c>
      <c r="O34" s="13" t="s">
        <v>578</v>
      </c>
      <c r="P34" s="13" t="b">
        <f t="shared" ref="P34" si="84">IF(O34="Any",TRUE,Integrity=O34)</f>
        <v>1</v>
      </c>
      <c r="Q34" s="13" t="s">
        <v>391</v>
      </c>
      <c r="R34" s="13" t="b">
        <f t="shared" si="6"/>
        <v>0</v>
      </c>
      <c r="S34" s="13" t="s">
        <v>225</v>
      </c>
      <c r="T34" s="13" t="b">
        <f t="shared" si="7"/>
        <v>0</v>
      </c>
      <c r="U34" s="13" t="str">
        <f t="shared" ref="U34" si="85">CONCATENATE(S34,":",T34)</f>
        <v>Separate environments for development, testing, staging and operations:FALSE</v>
      </c>
    </row>
    <row r="35" spans="1:21" ht="16.2" thickBot="1">
      <c r="A35" s="12" t="s">
        <v>578</v>
      </c>
      <c r="B35" s="13" t="b">
        <f>IF(A35="Any",TRUE,Management=A35)</f>
        <v>1</v>
      </c>
      <c r="C35" s="13" t="s">
        <v>578</v>
      </c>
      <c r="D35" s="13" t="b" cm="1">
        <f t="array" ref="D35">IF(C35="Any",TRUE,ClientType=C35)</f>
        <v>1</v>
      </c>
      <c r="E35" s="13" t="s">
        <v>578</v>
      </c>
      <c r="F35" s="13" t="b">
        <f t="shared" si="1"/>
        <v>1</v>
      </c>
      <c r="G35" s="13" t="s">
        <v>578</v>
      </c>
      <c r="H35" s="13" t="b">
        <f>IF(G35="Any",TRUE,Software=G35)</f>
        <v>1</v>
      </c>
      <c r="I35" s="13" t="s">
        <v>578</v>
      </c>
      <c r="J35" s="13" t="b">
        <f t="shared" si="82"/>
        <v>1</v>
      </c>
      <c r="K35" s="13" t="s">
        <v>578</v>
      </c>
      <c r="L35" s="13" t="b">
        <f t="shared" si="3"/>
        <v>1</v>
      </c>
      <c r="M35" s="13" t="s">
        <v>578</v>
      </c>
      <c r="N35" s="13" t="b">
        <f>IF(M35="Any",TRUE,Confidentiality=M35)</f>
        <v>1</v>
      </c>
      <c r="O35" s="13" t="s">
        <v>578</v>
      </c>
      <c r="P35" s="13" t="b">
        <f>IF(O35="Any",TRUE,Integrity=O35)</f>
        <v>1</v>
      </c>
      <c r="Q35" s="13" t="s">
        <v>578</v>
      </c>
      <c r="R35" s="13" t="b">
        <f t="shared" si="6"/>
        <v>1</v>
      </c>
      <c r="S35" s="13" t="s">
        <v>264</v>
      </c>
      <c r="T35" s="13" t="b">
        <f t="shared" si="7"/>
        <v>1</v>
      </c>
      <c r="U35" s="13" t="str">
        <f>CONCATENATE(S35,":",T35)</f>
        <v>Non-intrusive alerts:TRUE</v>
      </c>
    </row>
    <row r="36" spans="1:21" ht="16.2" thickBot="1">
      <c r="A36" s="12" t="s">
        <v>578</v>
      </c>
      <c r="B36" s="13" t="b">
        <f>IF(A36="Any",TRUE,Management=A36)</f>
        <v>1</v>
      </c>
      <c r="C36" s="13" t="s">
        <v>578</v>
      </c>
      <c r="D36" s="13" t="b" cm="1">
        <f t="array" ref="D36">IF(C36="Any",TRUE,ClientType=C36)</f>
        <v>1</v>
      </c>
      <c r="E36" s="13" t="s">
        <v>578</v>
      </c>
      <c r="F36" s="13" t="b">
        <f t="shared" si="1"/>
        <v>1</v>
      </c>
      <c r="G36" s="13" t="s">
        <v>578</v>
      </c>
      <c r="H36" s="13" t="b">
        <f>IF(G36="Any",TRUE,Software=G36)</f>
        <v>1</v>
      </c>
      <c r="I36" s="13" t="s">
        <v>578</v>
      </c>
      <c r="J36" s="13" t="b">
        <f t="shared" si="82"/>
        <v>1</v>
      </c>
      <c r="K36" s="13" t="s">
        <v>578</v>
      </c>
      <c r="L36" s="13" t="b">
        <f t="shared" si="3"/>
        <v>1</v>
      </c>
      <c r="M36" s="13" t="s">
        <v>578</v>
      </c>
      <c r="N36" s="13" t="b">
        <f>IF(M36="Any",TRUE,Confidentiality=M36)</f>
        <v>1</v>
      </c>
      <c r="O36" s="13" t="s">
        <v>578</v>
      </c>
      <c r="P36" s="13" t="b">
        <f>IF(O36="Any",TRUE,Integrity=O36)</f>
        <v>1</v>
      </c>
      <c r="Q36" s="13" t="s">
        <v>397</v>
      </c>
      <c r="R36" s="13" t="b">
        <f t="shared" si="6"/>
        <v>0</v>
      </c>
      <c r="S36" s="13" t="s">
        <v>258</v>
      </c>
      <c r="T36" s="13" t="b">
        <f t="shared" si="7"/>
        <v>0</v>
      </c>
      <c r="U36" s="13" t="str">
        <f>CONCATENATE(S36,":",T36)</f>
        <v>24 by 7 intrusive alerts:FALSE</v>
      </c>
    </row>
    <row r="37" spans="1:21" ht="16.2" thickBot="1">
      <c r="A37" s="12" t="s">
        <v>578</v>
      </c>
      <c r="B37" s="13" t="b">
        <f>IF(A37="Any",TRUE,Management=A37)</f>
        <v>1</v>
      </c>
      <c r="C37" s="13" t="s">
        <v>578</v>
      </c>
      <c r="D37" s="13" t="b" cm="1">
        <f t="array" ref="D37">IF(C37="Any",TRUE,ClientType=C37)</f>
        <v>1</v>
      </c>
      <c r="E37" s="13" t="s">
        <v>578</v>
      </c>
      <c r="F37" s="13" t="b">
        <f t="shared" si="1"/>
        <v>1</v>
      </c>
      <c r="G37" s="13" t="s">
        <v>578</v>
      </c>
      <c r="H37" s="13" t="b">
        <f>IF(G37="Any",TRUE,Software=G37)</f>
        <v>1</v>
      </c>
      <c r="I37" s="13" t="s">
        <v>578</v>
      </c>
      <c r="J37" s="13" t="b">
        <f t="shared" si="82"/>
        <v>1</v>
      </c>
      <c r="K37" s="13" t="s">
        <v>578</v>
      </c>
      <c r="L37" s="13" t="b">
        <f t="shared" ref="L37:L71" si="86">IF(K37="Any",TRUE,ApplicationTier=K37)</f>
        <v>1</v>
      </c>
      <c r="M37" s="13" t="s">
        <v>578</v>
      </c>
      <c r="N37" s="13" t="b">
        <f>IF(M37="Any",TRUE,Confidentiality=M37)</f>
        <v>1</v>
      </c>
      <c r="O37" s="13" t="s">
        <v>578</v>
      </c>
      <c r="P37" s="13" t="b">
        <f>IF(O37="Any",TRUE,Integrity=O37)</f>
        <v>1</v>
      </c>
      <c r="Q37" s="13" t="s">
        <v>391</v>
      </c>
      <c r="R37" s="13" t="b">
        <f t="shared" ref="R37:R71" si="87">IF(Q37="Any",TRUE,Availability=Q37)</f>
        <v>0</v>
      </c>
      <c r="S37" s="13" t="s">
        <v>258</v>
      </c>
      <c r="T37" s="13" t="b">
        <f t="shared" si="7"/>
        <v>0</v>
      </c>
      <c r="U37" s="13" t="str">
        <f>CONCATENATE(S37,":",T37)</f>
        <v>24 by 7 intrusive alerts:FALSE</v>
      </c>
    </row>
    <row r="38" spans="1:21" ht="16.2" thickBot="1">
      <c r="A38" s="12" t="s">
        <v>578</v>
      </c>
      <c r="B38" s="13" t="b">
        <f>IF(A38="Any",TRUE,Management=A38)</f>
        <v>1</v>
      </c>
      <c r="C38" s="13" t="s">
        <v>578</v>
      </c>
      <c r="D38" s="13" t="b" cm="1">
        <f t="array" ref="D38">IF(C38="Any",TRUE,ClientType=C38)</f>
        <v>1</v>
      </c>
      <c r="E38" s="13" t="s">
        <v>578</v>
      </c>
      <c r="F38" s="13" t="b">
        <f t="shared" ref="F38:F72" si="88">IF(E38="Any",TRUE,HasIntegrations=E38)</f>
        <v>1</v>
      </c>
      <c r="G38" s="13" t="s">
        <v>578</v>
      </c>
      <c r="H38" s="13" t="b">
        <f>IF(G38="Any",TRUE,Software=G38)</f>
        <v>1</v>
      </c>
      <c r="I38" s="13" t="s">
        <v>578</v>
      </c>
      <c r="J38" s="13" t="b">
        <f t="shared" ref="J38" si="89">IF(I38="Any",TRUE,Software=I38)</f>
        <v>1</v>
      </c>
      <c r="K38" s="13" t="s">
        <v>578</v>
      </c>
      <c r="L38" s="13" t="b">
        <f t="shared" si="86"/>
        <v>1</v>
      </c>
      <c r="M38" s="13" t="s">
        <v>578</v>
      </c>
      <c r="N38" s="13" t="b">
        <f>IF(M38="Any",TRUE,Confidentiality=M38)</f>
        <v>1</v>
      </c>
      <c r="O38" s="13" t="s">
        <v>578</v>
      </c>
      <c r="P38" s="13" t="b">
        <f>IF(O38="Any",TRUE,Integrity=O38)</f>
        <v>1</v>
      </c>
      <c r="Q38" s="13" t="s">
        <v>387</v>
      </c>
      <c r="R38" s="13" t="b">
        <f t="shared" si="87"/>
        <v>1</v>
      </c>
      <c r="S38" s="13" t="s">
        <v>261</v>
      </c>
      <c r="T38" s="13" t="b">
        <f t="shared" si="7"/>
        <v>1</v>
      </c>
      <c r="U38" s="13" t="str">
        <f>CONCATENATE(S38,":",T38)</f>
        <v>Business hours intrusive alerts:TRUE</v>
      </c>
    </row>
    <row r="39" spans="1:21" ht="16.2" thickBot="1">
      <c r="A39" s="12" t="s">
        <v>578</v>
      </c>
      <c r="B39" s="13" t="b">
        <f t="shared" ref="B39:B85" si="90">IF(A39="Any",TRUE,Management=A39)</f>
        <v>1</v>
      </c>
      <c r="C39" s="13" t="s">
        <v>578</v>
      </c>
      <c r="D39" s="13" t="b" cm="1">
        <f t="array" ref="D39">IF(C39="Any",TRUE,ClientType=C39)</f>
        <v>1</v>
      </c>
      <c r="E39" s="13" t="s">
        <v>578</v>
      </c>
      <c r="F39" s="13" t="b">
        <f t="shared" si="88"/>
        <v>1</v>
      </c>
      <c r="G39" s="13" t="s">
        <v>578</v>
      </c>
      <c r="H39" s="13" t="b">
        <f t="shared" ref="H39:H85" si="91">IF(G39="Any",TRUE,Software=G39)</f>
        <v>1</v>
      </c>
      <c r="I39" s="13" t="s">
        <v>578</v>
      </c>
      <c r="J39" s="13" t="b">
        <f t="shared" si="82"/>
        <v>1</v>
      </c>
      <c r="K39" s="13" t="s">
        <v>578</v>
      </c>
      <c r="L39" s="13" t="b">
        <f t="shared" si="86"/>
        <v>1</v>
      </c>
      <c r="M39" s="13" t="s">
        <v>578</v>
      </c>
      <c r="N39" s="13" t="b">
        <f t="shared" ref="N39:N85" si="92">IF(M39="Any",TRUE,Confidentiality=M39)</f>
        <v>1</v>
      </c>
      <c r="O39" s="13" t="s">
        <v>578</v>
      </c>
      <c r="P39" s="13" t="b">
        <f t="shared" ref="P39:P85" si="93">IF(O39="Any",TRUE,Integrity=O39)</f>
        <v>1</v>
      </c>
      <c r="Q39" s="13" t="s">
        <v>382</v>
      </c>
      <c r="R39" s="13" t="b">
        <f t="shared" si="87"/>
        <v>0</v>
      </c>
      <c r="S39" s="13" t="s">
        <v>261</v>
      </c>
      <c r="T39" s="13" t="b">
        <f t="shared" si="7"/>
        <v>0</v>
      </c>
      <c r="U39" s="13" t="str">
        <f t="shared" si="8"/>
        <v>Business hours intrusive alerts:FALSE</v>
      </c>
    </row>
    <row r="40" spans="1:21" ht="16.2" thickBot="1">
      <c r="A40" s="12" t="s">
        <v>582</v>
      </c>
      <c r="B40" s="13" t="b">
        <f t="shared" ref="B40:B46" si="94">IF(A40="Any",TRUE,Management=A40)</f>
        <v>0</v>
      </c>
      <c r="C40" s="13" t="s">
        <v>578</v>
      </c>
      <c r="D40" s="13" t="b" cm="1">
        <f t="array" ref="D40">IF(C40="Any",TRUE,ClientType=C40)</f>
        <v>1</v>
      </c>
      <c r="E40" s="13" t="s">
        <v>578</v>
      </c>
      <c r="F40" s="13" t="b">
        <f>IF(E40="Any",TRUE,HasIntegrations=E40)</f>
        <v>1</v>
      </c>
      <c r="G40" s="13" t="s">
        <v>578</v>
      </c>
      <c r="H40" s="13" t="b">
        <f t="shared" ref="H40:H46" si="95">IF(G40="Any",TRUE,Software=G40)</f>
        <v>1</v>
      </c>
      <c r="I40" s="13" t="s">
        <v>578</v>
      </c>
      <c r="J40" s="13" t="b">
        <f>IF(I40="Any",TRUE,Software=I40)</f>
        <v>1</v>
      </c>
      <c r="K40" s="13" t="s">
        <v>395</v>
      </c>
      <c r="L40" s="13" t="b">
        <f>IF(K40="Any",TRUE,ApplicationTier=K40)</f>
        <v>0</v>
      </c>
      <c r="M40" s="13" t="s">
        <v>578</v>
      </c>
      <c r="N40" s="13" t="b">
        <f t="shared" ref="N40:N46" si="96">IF(M40="Any",TRUE,Confidentiality=M40)</f>
        <v>1</v>
      </c>
      <c r="O40" s="13" t="s">
        <v>578</v>
      </c>
      <c r="P40" s="13" t="b">
        <f t="shared" ref="P40:P46" si="97">IF(O40="Any",TRUE,Integrity=O40)</f>
        <v>1</v>
      </c>
      <c r="Q40" s="13" t="s">
        <v>578</v>
      </c>
      <c r="R40" s="13" t="b">
        <f>IF(Q40="Any",TRUE,Availability=Q40)</f>
        <v>1</v>
      </c>
      <c r="S40" s="13" t="s">
        <v>198</v>
      </c>
      <c r="T40" s="13" t="b">
        <f>AND(B40,D40,F40,H40,J40,L40,N40,P40,R40)</f>
        <v>0</v>
      </c>
      <c r="U40" s="13" t="str">
        <f t="shared" ref="U40:U46" si="98">CONCATENATE(S40,":",T40)</f>
        <v>Application software security monitoring:FALSE</v>
      </c>
    </row>
    <row r="41" spans="1:21" ht="16.2" thickBot="1">
      <c r="A41" s="12" t="s">
        <v>582</v>
      </c>
      <c r="B41" s="13" t="b">
        <f t="shared" si="94"/>
        <v>0</v>
      </c>
      <c r="C41" s="13" t="s">
        <v>578</v>
      </c>
      <c r="D41" s="13" t="b" cm="1">
        <f t="array" ref="D41">IF(C41="Any",TRUE,ClientType=C41)</f>
        <v>1</v>
      </c>
      <c r="E41" s="13" t="s">
        <v>578</v>
      </c>
      <c r="F41" s="13" t="b">
        <f>IF(E41="Any",TRUE,HasIntegrations=E41)</f>
        <v>1</v>
      </c>
      <c r="G41" s="13" t="s">
        <v>578</v>
      </c>
      <c r="H41" s="13" t="b">
        <f t="shared" si="95"/>
        <v>1</v>
      </c>
      <c r="I41" s="13" t="s">
        <v>578</v>
      </c>
      <c r="J41" s="13" t="b">
        <f>IF(I41="Any",TRUE,Software=I41)</f>
        <v>1</v>
      </c>
      <c r="K41" s="13" t="s">
        <v>389</v>
      </c>
      <c r="L41" s="13" t="b">
        <f>IF(K41="Any",TRUE,ApplicationTier=K41)</f>
        <v>1</v>
      </c>
      <c r="M41" s="13" t="s">
        <v>578</v>
      </c>
      <c r="N41" s="13" t="b">
        <f t="shared" si="96"/>
        <v>1</v>
      </c>
      <c r="O41" s="13" t="s">
        <v>578</v>
      </c>
      <c r="P41" s="13" t="b">
        <f t="shared" si="97"/>
        <v>1</v>
      </c>
      <c r="Q41" s="13" t="s">
        <v>578</v>
      </c>
      <c r="R41" s="13" t="b">
        <f>IF(Q41="Any",TRUE,Availability=Q41)</f>
        <v>1</v>
      </c>
      <c r="S41" s="13" t="s">
        <v>198</v>
      </c>
      <c r="T41" s="13" t="b">
        <f>AND(B41,D41,F41,H41,J41,L41,N41,P41,R41)</f>
        <v>0</v>
      </c>
      <c r="U41" s="13" t="str">
        <f t="shared" si="98"/>
        <v>Application software security monitoring:FALSE</v>
      </c>
    </row>
    <row r="42" spans="1:21" ht="16.2" thickBot="1">
      <c r="A42" s="12" t="s">
        <v>582</v>
      </c>
      <c r="B42" s="13" t="b">
        <f t="shared" si="94"/>
        <v>0</v>
      </c>
      <c r="C42" s="13" t="s">
        <v>578</v>
      </c>
      <c r="D42" s="13" t="b" cm="1">
        <f t="array" ref="D42">IF(C42="Any",TRUE,ClientType=C42)</f>
        <v>1</v>
      </c>
      <c r="E42" s="13" t="s">
        <v>578</v>
      </c>
      <c r="F42" s="13" t="b">
        <f t="shared" si="88"/>
        <v>1</v>
      </c>
      <c r="G42" s="13" t="s">
        <v>578</v>
      </c>
      <c r="H42" s="13" t="b">
        <f t="shared" si="95"/>
        <v>1</v>
      </c>
      <c r="I42" s="13" t="s">
        <v>578</v>
      </c>
      <c r="J42" s="13" t="b">
        <f t="shared" ref="J42" si="99">IF(I42="Any",TRUE,Software=I42)</f>
        <v>1</v>
      </c>
      <c r="K42" s="13" t="s">
        <v>578</v>
      </c>
      <c r="L42" s="13" t="b">
        <f t="shared" si="86"/>
        <v>1</v>
      </c>
      <c r="M42" s="13" t="s">
        <v>578</v>
      </c>
      <c r="N42" s="13" t="b">
        <f t="shared" si="96"/>
        <v>1</v>
      </c>
      <c r="O42" s="13" t="s">
        <v>578</v>
      </c>
      <c r="P42" s="13" t="b">
        <f t="shared" si="97"/>
        <v>1</v>
      </c>
      <c r="Q42" s="13" t="s">
        <v>578</v>
      </c>
      <c r="R42" s="13" t="b">
        <f t="shared" si="87"/>
        <v>1</v>
      </c>
      <c r="S42" s="13" t="s">
        <v>212</v>
      </c>
      <c r="T42" s="13" t="b">
        <f t="shared" si="7"/>
        <v>0</v>
      </c>
      <c r="U42" s="13" t="str">
        <f t="shared" si="98"/>
        <v>Change management:FALSE</v>
      </c>
    </row>
    <row r="43" spans="1:21" ht="16.2" thickBot="1">
      <c r="A43" s="12" t="s">
        <v>582</v>
      </c>
      <c r="B43" s="13" t="b">
        <f t="shared" si="94"/>
        <v>0</v>
      </c>
      <c r="C43" s="13" t="s">
        <v>578</v>
      </c>
      <c r="D43" s="13" t="b" cm="1">
        <f t="array" ref="D43">IF(C43="Any",TRUE,ClientType=C43)</f>
        <v>1</v>
      </c>
      <c r="E43" s="13" t="s">
        <v>578</v>
      </c>
      <c r="F43" s="13" t="b">
        <f t="shared" si="88"/>
        <v>1</v>
      </c>
      <c r="G43" s="13" t="s">
        <v>578</v>
      </c>
      <c r="H43" s="13" t="b">
        <f t="shared" si="95"/>
        <v>1</v>
      </c>
      <c r="I43" s="13" t="s">
        <v>578</v>
      </c>
      <c r="J43" s="13" t="b">
        <f t="shared" si="82"/>
        <v>1</v>
      </c>
      <c r="K43" s="13" t="s">
        <v>578</v>
      </c>
      <c r="L43" s="13" t="b">
        <f t="shared" si="86"/>
        <v>1</v>
      </c>
      <c r="M43" s="13" t="s">
        <v>578</v>
      </c>
      <c r="N43" s="13" t="b">
        <f t="shared" si="96"/>
        <v>1</v>
      </c>
      <c r="O43" s="13" t="s">
        <v>578</v>
      </c>
      <c r="P43" s="13" t="b">
        <f t="shared" si="97"/>
        <v>1</v>
      </c>
      <c r="Q43" s="13" t="s">
        <v>578</v>
      </c>
      <c r="R43" s="13" t="b">
        <f t="shared" si="87"/>
        <v>1</v>
      </c>
      <c r="S43" s="13" t="s">
        <v>191</v>
      </c>
      <c r="T43" s="13" t="b">
        <f t="shared" si="7"/>
        <v>0</v>
      </c>
      <c r="U43" s="13" t="str">
        <f t="shared" si="98"/>
        <v>Encryption of client traffic:FALSE</v>
      </c>
    </row>
    <row r="44" spans="1:21" ht="16.2" thickBot="1">
      <c r="A44" s="12" t="s">
        <v>582</v>
      </c>
      <c r="B44" s="13" t="b">
        <f t="shared" si="94"/>
        <v>0</v>
      </c>
      <c r="C44" s="13" t="s">
        <v>578</v>
      </c>
      <c r="D44" s="13" t="b" cm="1">
        <f t="array" ref="D44">IF(C44="Any",TRUE,ClientType=C44)</f>
        <v>1</v>
      </c>
      <c r="E44" s="13" t="s">
        <v>578</v>
      </c>
      <c r="F44" s="13" t="b">
        <f t="shared" si="88"/>
        <v>1</v>
      </c>
      <c r="G44" s="13" t="s">
        <v>578</v>
      </c>
      <c r="H44" s="13" t="b">
        <f t="shared" si="95"/>
        <v>1</v>
      </c>
      <c r="I44" s="13" t="s">
        <v>578</v>
      </c>
      <c r="J44" s="13" t="b">
        <f t="shared" si="82"/>
        <v>1</v>
      </c>
      <c r="K44" s="13" t="s">
        <v>578</v>
      </c>
      <c r="L44" s="13" t="b">
        <f t="shared" si="86"/>
        <v>1</v>
      </c>
      <c r="M44" s="13" t="s">
        <v>578</v>
      </c>
      <c r="N44" s="13" t="b">
        <f t="shared" si="96"/>
        <v>1</v>
      </c>
      <c r="O44" s="13" t="s">
        <v>578</v>
      </c>
      <c r="P44" s="13" t="b">
        <f t="shared" si="97"/>
        <v>1</v>
      </c>
      <c r="Q44" s="13" t="s">
        <v>578</v>
      </c>
      <c r="R44" s="13" t="b">
        <f t="shared" si="87"/>
        <v>1</v>
      </c>
      <c r="S44" s="13" t="s">
        <v>267</v>
      </c>
      <c r="T44" s="13" t="b">
        <f t="shared" si="7"/>
        <v>0</v>
      </c>
      <c r="U44" s="13" t="str">
        <f t="shared" si="98"/>
        <v>Operational monitoring:FALSE</v>
      </c>
    </row>
    <row r="45" spans="1:21" ht="16.2" thickBot="1">
      <c r="A45" s="12" t="s">
        <v>582</v>
      </c>
      <c r="B45" s="13" t="b">
        <f t="shared" si="94"/>
        <v>0</v>
      </c>
      <c r="C45" s="13" t="s">
        <v>578</v>
      </c>
      <c r="D45" s="13" t="b" cm="1">
        <f t="array" ref="D45">IF(C45="Any",TRUE,ClientType=C45)</f>
        <v>1</v>
      </c>
      <c r="E45" s="13" t="s">
        <v>578</v>
      </c>
      <c r="F45" s="13" t="b">
        <f t="shared" si="88"/>
        <v>1</v>
      </c>
      <c r="G45" s="13" t="s">
        <v>578</v>
      </c>
      <c r="H45" s="13" t="b">
        <f t="shared" si="95"/>
        <v>1</v>
      </c>
      <c r="I45" s="13" t="s">
        <v>578</v>
      </c>
      <c r="J45" s="13" t="b">
        <f t="shared" si="82"/>
        <v>1</v>
      </c>
      <c r="K45" s="13" t="s">
        <v>578</v>
      </c>
      <c r="L45" s="13" t="b">
        <f t="shared" si="86"/>
        <v>1</v>
      </c>
      <c r="M45" s="13" t="s">
        <v>578</v>
      </c>
      <c r="N45" s="13" t="b">
        <f t="shared" si="96"/>
        <v>1</v>
      </c>
      <c r="O45" s="13" t="s">
        <v>578</v>
      </c>
      <c r="P45" s="13" t="b">
        <f t="shared" si="97"/>
        <v>1</v>
      </c>
      <c r="Q45" s="13" t="s">
        <v>578</v>
      </c>
      <c r="R45" s="13" t="b">
        <f t="shared" si="87"/>
        <v>1</v>
      </c>
      <c r="S45" s="13" t="s">
        <v>218</v>
      </c>
      <c r="T45" s="13" t="b">
        <f t="shared" si="7"/>
        <v>0</v>
      </c>
      <c r="U45" s="13" t="str">
        <f t="shared" si="98"/>
        <v>Secure hosting:FALSE</v>
      </c>
    </row>
    <row r="46" spans="1:21" ht="16.2" thickBot="1">
      <c r="A46" s="12" t="s">
        <v>582</v>
      </c>
      <c r="B46" s="13" t="b">
        <f t="shared" si="94"/>
        <v>0</v>
      </c>
      <c r="C46" s="13" t="s">
        <v>578</v>
      </c>
      <c r="D46" s="13" t="b" cm="1">
        <f t="array" ref="D46">IF(C46="Any",TRUE,ClientType=C46)</f>
        <v>1</v>
      </c>
      <c r="E46" s="13" t="s">
        <v>578</v>
      </c>
      <c r="F46" s="13" t="b">
        <f t="shared" si="88"/>
        <v>1</v>
      </c>
      <c r="G46" s="13" t="s">
        <v>578</v>
      </c>
      <c r="H46" s="13" t="b">
        <f t="shared" si="95"/>
        <v>1</v>
      </c>
      <c r="I46" s="13" t="s">
        <v>578</v>
      </c>
      <c r="J46" s="13" t="b">
        <f>IF(I46="Any",TRUE,Software=I46)</f>
        <v>1</v>
      </c>
      <c r="K46" s="13" t="s">
        <v>578</v>
      </c>
      <c r="L46" s="13" t="b">
        <f t="shared" si="86"/>
        <v>1</v>
      </c>
      <c r="M46" s="13" t="s">
        <v>578</v>
      </c>
      <c r="N46" s="13" t="b">
        <f t="shared" si="96"/>
        <v>1</v>
      </c>
      <c r="O46" s="13" t="s">
        <v>578</v>
      </c>
      <c r="P46" s="13" t="b">
        <f t="shared" si="97"/>
        <v>1</v>
      </c>
      <c r="Q46" s="13" t="s">
        <v>578</v>
      </c>
      <c r="R46" s="13" t="b">
        <f t="shared" si="87"/>
        <v>1</v>
      </c>
      <c r="S46" s="13" t="s">
        <v>329</v>
      </c>
      <c r="T46" s="13" t="b">
        <f t="shared" si="7"/>
        <v>0</v>
      </c>
      <c r="U46" s="13" t="str">
        <f t="shared" si="98"/>
        <v>Vulnerability scanning:FALSE</v>
      </c>
    </row>
    <row r="47" spans="1:21" ht="16.2" thickBot="1">
      <c r="A47" s="12" t="s">
        <v>582</v>
      </c>
      <c r="B47" s="13" t="b">
        <f t="shared" si="90"/>
        <v>0</v>
      </c>
      <c r="C47" s="13" t="s">
        <v>578</v>
      </c>
      <c r="D47" s="13" t="b" cm="1">
        <f t="array" ref="D47">IF(C47="Any",TRUE,ClientType=C47)</f>
        <v>1</v>
      </c>
      <c r="E47" s="13" t="s">
        <v>578</v>
      </c>
      <c r="F47" s="13" t="b">
        <f t="shared" si="88"/>
        <v>1</v>
      </c>
      <c r="G47" s="13" t="s">
        <v>578</v>
      </c>
      <c r="H47" s="13" t="b">
        <f t="shared" si="91"/>
        <v>1</v>
      </c>
      <c r="I47" s="13" t="s">
        <v>578</v>
      </c>
      <c r="J47" s="13" t="b">
        <f t="shared" si="82"/>
        <v>1</v>
      </c>
      <c r="K47" s="13" t="s">
        <v>578</v>
      </c>
      <c r="L47" s="13" t="b">
        <f t="shared" si="86"/>
        <v>1</v>
      </c>
      <c r="M47" s="13" t="s">
        <v>578</v>
      </c>
      <c r="N47" s="13" t="b">
        <f t="shared" si="92"/>
        <v>1</v>
      </c>
      <c r="O47" s="13" t="s">
        <v>578</v>
      </c>
      <c r="P47" s="13" t="b">
        <f t="shared" si="93"/>
        <v>1</v>
      </c>
      <c r="Q47" s="13" t="s">
        <v>578</v>
      </c>
      <c r="R47" s="13" t="b">
        <f t="shared" si="87"/>
        <v>1</v>
      </c>
      <c r="S47" s="13" t="s">
        <v>307</v>
      </c>
      <c r="T47" s="13" t="b">
        <f t="shared" si="7"/>
        <v>0</v>
      </c>
      <c r="U47" s="13" t="str">
        <f t="shared" si="8"/>
        <v>Patch management:FALSE</v>
      </c>
    </row>
    <row r="48" spans="1:21" ht="16.2" thickBot="1">
      <c r="A48" s="12" t="s">
        <v>582</v>
      </c>
      <c r="B48" s="13" t="b">
        <f t="shared" si="90"/>
        <v>0</v>
      </c>
      <c r="C48" s="13" t="s">
        <v>578</v>
      </c>
      <c r="D48" s="13" t="b" cm="1">
        <f t="array" ref="D48">IF(C48="Any",TRUE,ClientType=C48)</f>
        <v>1</v>
      </c>
      <c r="E48" s="13" t="s">
        <v>578</v>
      </c>
      <c r="F48" s="13" t="b">
        <f t="shared" si="88"/>
        <v>1</v>
      </c>
      <c r="G48" s="13" t="s">
        <v>578</v>
      </c>
      <c r="H48" s="13" t="b">
        <f t="shared" si="91"/>
        <v>1</v>
      </c>
      <c r="I48" s="13" t="s">
        <v>583</v>
      </c>
      <c r="J48" s="13" t="b">
        <f t="shared" si="82"/>
        <v>0</v>
      </c>
      <c r="K48" s="13" t="s">
        <v>578</v>
      </c>
      <c r="L48" s="13" t="b">
        <f t="shared" si="86"/>
        <v>1</v>
      </c>
      <c r="M48" s="13" t="s">
        <v>578</v>
      </c>
      <c r="N48" s="13" t="b">
        <f t="shared" si="92"/>
        <v>1</v>
      </c>
      <c r="O48" s="13" t="s">
        <v>578</v>
      </c>
      <c r="P48" s="13" t="b">
        <f t="shared" si="93"/>
        <v>1</v>
      </c>
      <c r="Q48" s="13" t="s">
        <v>578</v>
      </c>
      <c r="R48" s="13" t="b">
        <f t="shared" si="87"/>
        <v>1</v>
      </c>
      <c r="S48" s="13" t="s">
        <v>231</v>
      </c>
      <c r="T48" s="13" t="b">
        <f t="shared" si="7"/>
        <v>0</v>
      </c>
      <c r="U48" s="13" t="str">
        <f t="shared" si="8"/>
        <v>Server workload protection:FALSE</v>
      </c>
    </row>
    <row r="49" spans="1:21" ht="16.2" thickBot="1">
      <c r="A49" s="12" t="s">
        <v>582</v>
      </c>
      <c r="B49" s="13" t="b">
        <f t="shared" si="90"/>
        <v>0</v>
      </c>
      <c r="C49" s="13" t="s">
        <v>578</v>
      </c>
      <c r="D49" s="13" t="b" cm="1">
        <f t="array" ref="D49">IF(C49="Any",TRUE,ClientType=C49)</f>
        <v>1</v>
      </c>
      <c r="E49" s="13" t="s">
        <v>578</v>
      </c>
      <c r="F49" s="13" t="b">
        <f t="shared" si="88"/>
        <v>1</v>
      </c>
      <c r="G49" s="13" t="s">
        <v>578</v>
      </c>
      <c r="H49" s="13" t="b">
        <f t="shared" si="91"/>
        <v>1</v>
      </c>
      <c r="I49" s="13" t="s">
        <v>583</v>
      </c>
      <c r="J49" s="13" t="b">
        <f t="shared" si="82"/>
        <v>0</v>
      </c>
      <c r="K49" s="13" t="s">
        <v>578</v>
      </c>
      <c r="L49" s="13" t="b">
        <f t="shared" si="86"/>
        <v>1</v>
      </c>
      <c r="M49" s="13" t="s">
        <v>578</v>
      </c>
      <c r="N49" s="13" t="b">
        <f t="shared" si="92"/>
        <v>1</v>
      </c>
      <c r="O49" s="13" t="s">
        <v>578</v>
      </c>
      <c r="P49" s="13" t="b">
        <f t="shared" si="93"/>
        <v>1</v>
      </c>
      <c r="Q49" s="13" t="s">
        <v>578</v>
      </c>
      <c r="R49" s="13" t="b">
        <f t="shared" si="87"/>
        <v>1</v>
      </c>
      <c r="S49" s="13" t="s">
        <v>228</v>
      </c>
      <c r="T49" s="13" t="b">
        <f t="shared" si="7"/>
        <v>0</v>
      </c>
      <c r="U49" s="13" t="str">
        <f t="shared" si="8"/>
        <v>Server host-based firewalling:FALSE</v>
      </c>
    </row>
    <row r="50" spans="1:21" ht="16.2" thickBot="1">
      <c r="A50" s="12" t="s">
        <v>582</v>
      </c>
      <c r="B50" s="13" t="b">
        <f t="shared" si="90"/>
        <v>0</v>
      </c>
      <c r="C50" s="13" t="s">
        <v>578</v>
      </c>
      <c r="D50" s="13" t="b" cm="1">
        <f t="array" ref="D50">IF(C50="Any",TRUE,ClientType=C50)</f>
        <v>1</v>
      </c>
      <c r="E50" s="13" t="s">
        <v>578</v>
      </c>
      <c r="F50" s="13" t="b">
        <f t="shared" si="88"/>
        <v>1</v>
      </c>
      <c r="G50" s="13" t="s">
        <v>578</v>
      </c>
      <c r="H50" s="13" t="b">
        <f t="shared" si="91"/>
        <v>1</v>
      </c>
      <c r="I50" s="13" t="s">
        <v>578</v>
      </c>
      <c r="J50" s="13" t="b">
        <f t="shared" si="82"/>
        <v>1</v>
      </c>
      <c r="K50" s="13" t="s">
        <v>578</v>
      </c>
      <c r="L50" s="13" t="b">
        <f t="shared" si="86"/>
        <v>1</v>
      </c>
      <c r="M50" s="13" t="s">
        <v>578</v>
      </c>
      <c r="N50" s="13" t="b">
        <f t="shared" si="92"/>
        <v>1</v>
      </c>
      <c r="O50" s="13" t="s">
        <v>578</v>
      </c>
      <c r="P50" s="13" t="b">
        <f t="shared" si="93"/>
        <v>1</v>
      </c>
      <c r="Q50" s="13" t="s">
        <v>578</v>
      </c>
      <c r="R50" s="13" t="b">
        <f t="shared" si="87"/>
        <v>1</v>
      </c>
      <c r="S50" s="13" t="s">
        <v>275</v>
      </c>
      <c r="T50" s="13" t="b">
        <f t="shared" si="7"/>
        <v>0</v>
      </c>
      <c r="U50" s="13" t="str">
        <f t="shared" si="8"/>
        <v>Network segregation and firewalling:FALSE</v>
      </c>
    </row>
    <row r="51" spans="1:21" ht="16.2" thickBot="1">
      <c r="A51" s="12" t="s">
        <v>582</v>
      </c>
      <c r="B51" s="13" t="b">
        <f t="shared" si="90"/>
        <v>0</v>
      </c>
      <c r="C51" s="13" t="s">
        <v>578</v>
      </c>
      <c r="D51" s="13" t="b" cm="1">
        <f t="array" ref="D51">IF(C51="Any",TRUE,ClientType=C51)</f>
        <v>1</v>
      </c>
      <c r="E51" s="13" t="s">
        <v>578</v>
      </c>
      <c r="F51" s="13" t="b">
        <f t="shared" si="88"/>
        <v>1</v>
      </c>
      <c r="G51" s="13" t="s">
        <v>584</v>
      </c>
      <c r="H51" s="13" t="b">
        <f t="shared" si="91"/>
        <v>0</v>
      </c>
      <c r="I51" s="13" t="s">
        <v>578</v>
      </c>
      <c r="J51" s="13" t="b">
        <f t="shared" si="82"/>
        <v>1</v>
      </c>
      <c r="K51" s="13" t="s">
        <v>578</v>
      </c>
      <c r="L51" s="13" t="b">
        <f t="shared" si="86"/>
        <v>1</v>
      </c>
      <c r="M51" s="13" t="s">
        <v>578</v>
      </c>
      <c r="N51" s="13" t="b">
        <f t="shared" si="92"/>
        <v>1</v>
      </c>
      <c r="O51" s="13" t="s">
        <v>578</v>
      </c>
      <c r="P51" s="13" t="b">
        <f t="shared" si="93"/>
        <v>1</v>
      </c>
      <c r="Q51" s="13" t="s">
        <v>578</v>
      </c>
      <c r="R51" s="13" t="b">
        <f t="shared" si="87"/>
        <v>1</v>
      </c>
      <c r="S51" s="13" t="s">
        <v>326</v>
      </c>
      <c r="T51" s="13" t="b">
        <f t="shared" si="7"/>
        <v>0</v>
      </c>
      <c r="U51" s="13" t="str">
        <f t="shared" si="8"/>
        <v>Security support:FALSE</v>
      </c>
    </row>
    <row r="52" spans="1:21" ht="16.2" thickBot="1">
      <c r="A52" s="12" t="s">
        <v>582</v>
      </c>
      <c r="B52" s="13" t="b">
        <f t="shared" ref="B52" si="100">IF(A52="Any",TRUE,Management=A52)</f>
        <v>0</v>
      </c>
      <c r="C52" s="13" t="s">
        <v>578</v>
      </c>
      <c r="D52" s="13" t="b" cm="1">
        <f t="array" ref="D52">IF(C52="Any",TRUE,ClientType=C52)</f>
        <v>1</v>
      </c>
      <c r="E52" s="13" t="s">
        <v>578</v>
      </c>
      <c r="F52" s="13" t="b">
        <f t="shared" ref="F52" si="101">IF(E52="Any",TRUE,HasIntegrations=E52)</f>
        <v>1</v>
      </c>
      <c r="G52" s="13" t="s">
        <v>585</v>
      </c>
      <c r="H52" s="13" t="b">
        <f t="shared" ref="H52" si="102">IF(G52="Any",TRUE,Software=G52)</f>
        <v>0</v>
      </c>
      <c r="I52" s="13" t="s">
        <v>578</v>
      </c>
      <c r="J52" s="13" t="b">
        <f t="shared" ref="J52" si="103">IF(I52="Any",TRUE,Software=I52)</f>
        <v>1</v>
      </c>
      <c r="K52" s="13" t="s">
        <v>578</v>
      </c>
      <c r="L52" s="13" t="b">
        <f t="shared" ref="L52" si="104">IF(K52="Any",TRUE,ApplicationTier=K52)</f>
        <v>1</v>
      </c>
      <c r="M52" s="13" t="s">
        <v>578</v>
      </c>
      <c r="N52" s="13" t="b">
        <f t="shared" ref="N52" si="105">IF(M52="Any",TRUE,Confidentiality=M52)</f>
        <v>1</v>
      </c>
      <c r="O52" s="13" t="s">
        <v>578</v>
      </c>
      <c r="P52" s="13" t="b">
        <f t="shared" ref="P52" si="106">IF(O52="Any",TRUE,Integrity=O52)</f>
        <v>1</v>
      </c>
      <c r="Q52" s="13" t="s">
        <v>578</v>
      </c>
      <c r="R52" s="13" t="b">
        <f t="shared" ref="R52" si="107">IF(Q52="Any",TRUE,Availability=Q52)</f>
        <v>1</v>
      </c>
      <c r="S52" s="13" t="s">
        <v>326</v>
      </c>
      <c r="T52" s="13" t="b">
        <f t="shared" ref="T52" si="108">AND(B52,D52,F52,H52,J52,L52,N52,P52,R52)</f>
        <v>0</v>
      </c>
      <c r="U52" s="13" t="str">
        <f t="shared" ref="U52" si="109">CONCATENATE(S52,":",T52)</f>
        <v>Security support:FALSE</v>
      </c>
    </row>
    <row r="53" spans="1:21" ht="16.2" thickBot="1">
      <c r="A53" s="12" t="s">
        <v>582</v>
      </c>
      <c r="B53" s="13" t="b">
        <f t="shared" si="90"/>
        <v>0</v>
      </c>
      <c r="C53" s="13" t="s">
        <v>578</v>
      </c>
      <c r="D53" s="13" t="b" cm="1">
        <f t="array" ref="D53">IF(C53="Any",TRUE,ClientType=C53)</f>
        <v>1</v>
      </c>
      <c r="E53" s="13" t="s">
        <v>578</v>
      </c>
      <c r="F53" s="13" t="b">
        <f t="shared" si="88"/>
        <v>1</v>
      </c>
      <c r="G53" s="13" t="s">
        <v>578</v>
      </c>
      <c r="H53" s="13" t="b">
        <f t="shared" si="91"/>
        <v>1</v>
      </c>
      <c r="I53" s="13" t="s">
        <v>578</v>
      </c>
      <c r="J53" s="13" t="b">
        <f t="shared" si="82"/>
        <v>1</v>
      </c>
      <c r="K53" s="13" t="s">
        <v>389</v>
      </c>
      <c r="L53" s="13" t="b">
        <f t="shared" si="86"/>
        <v>1</v>
      </c>
      <c r="M53" s="13" t="s">
        <v>578</v>
      </c>
      <c r="N53" s="13" t="b">
        <f t="shared" si="92"/>
        <v>1</v>
      </c>
      <c r="O53" s="13" t="s">
        <v>578</v>
      </c>
      <c r="P53" s="13" t="b">
        <f t="shared" si="93"/>
        <v>1</v>
      </c>
      <c r="Q53" s="13" t="s">
        <v>578</v>
      </c>
      <c r="R53" s="13" t="b">
        <f t="shared" si="87"/>
        <v>1</v>
      </c>
      <c r="S53" s="13" t="s">
        <v>271</v>
      </c>
      <c r="T53" s="13" t="b">
        <f t="shared" si="7"/>
        <v>0</v>
      </c>
      <c r="U53" s="13" t="str">
        <f t="shared" si="8"/>
        <v>Application firewalling:FALSE</v>
      </c>
    </row>
    <row r="54" spans="1:21" ht="16.2" thickBot="1">
      <c r="A54" s="12" t="s">
        <v>582</v>
      </c>
      <c r="B54" s="13" t="b">
        <f t="shared" ref="B54:B55" si="110">IF(A54="Any",TRUE,Management=A54)</f>
        <v>0</v>
      </c>
      <c r="C54" s="13" t="s">
        <v>578</v>
      </c>
      <c r="D54" s="13" t="b" cm="1">
        <f t="array" ref="D54">IF(C54="Any",TRUE,ClientType=C54)</f>
        <v>1</v>
      </c>
      <c r="E54" s="13" t="s">
        <v>578</v>
      </c>
      <c r="F54" s="13" t="b">
        <f t="shared" si="88"/>
        <v>1</v>
      </c>
      <c r="G54" s="13" t="s">
        <v>578</v>
      </c>
      <c r="H54" s="13" t="b">
        <f t="shared" ref="H54:H55" si="111">IF(G54="Any",TRUE,Software=G54)</f>
        <v>1</v>
      </c>
      <c r="I54" s="13" t="s">
        <v>578</v>
      </c>
      <c r="J54" s="13" t="b">
        <f t="shared" si="82"/>
        <v>1</v>
      </c>
      <c r="K54" s="13" t="s">
        <v>395</v>
      </c>
      <c r="L54" s="13" t="b">
        <f t="shared" si="86"/>
        <v>0</v>
      </c>
      <c r="M54" s="13" t="s">
        <v>578</v>
      </c>
      <c r="N54" s="13" t="b">
        <f t="shared" si="92"/>
        <v>1</v>
      </c>
      <c r="O54" s="13" t="s">
        <v>578</v>
      </c>
      <c r="P54" s="13" t="b">
        <f t="shared" ref="P54:P55" si="112">IF(O54="Any",TRUE,Integrity=O54)</f>
        <v>1</v>
      </c>
      <c r="Q54" s="13" t="s">
        <v>578</v>
      </c>
      <c r="R54" s="13" t="b">
        <f t="shared" si="87"/>
        <v>1</v>
      </c>
      <c r="S54" s="13" t="s">
        <v>271</v>
      </c>
      <c r="T54" s="13" t="b">
        <f t="shared" si="7"/>
        <v>0</v>
      </c>
      <c r="U54" s="13" t="str">
        <f t="shared" si="8"/>
        <v>Application firewalling:FALSE</v>
      </c>
    </row>
    <row r="55" spans="1:21" ht="16.2" thickBot="1">
      <c r="A55" s="12" t="s">
        <v>582</v>
      </c>
      <c r="B55" s="13" t="b">
        <f t="shared" si="110"/>
        <v>0</v>
      </c>
      <c r="C55" s="13" t="s">
        <v>586</v>
      </c>
      <c r="D55" s="13" t="b" cm="1">
        <f t="array" ref="D55">IF(C55="Any",TRUE,ClientType=C55)</f>
        <v>0</v>
      </c>
      <c r="E55" s="13" t="s">
        <v>578</v>
      </c>
      <c r="F55" s="13" t="b">
        <f t="shared" si="88"/>
        <v>1</v>
      </c>
      <c r="G55" s="13" t="s">
        <v>578</v>
      </c>
      <c r="H55" s="13" t="b">
        <f t="shared" si="111"/>
        <v>1</v>
      </c>
      <c r="I55" s="13" t="s">
        <v>578</v>
      </c>
      <c r="J55" s="13" t="b">
        <f t="shared" ref="J55" si="113">IF(I55="Any",TRUE,Software=I55)</f>
        <v>1</v>
      </c>
      <c r="K55" s="13" t="s">
        <v>389</v>
      </c>
      <c r="L55" s="13" t="b">
        <f t="shared" si="86"/>
        <v>1</v>
      </c>
      <c r="M55" s="13" t="s">
        <v>578</v>
      </c>
      <c r="N55" s="13" t="b">
        <f t="shared" ref="N55" si="114">IF(M55="Any",TRUE,Confidentiality=M55)</f>
        <v>1</v>
      </c>
      <c r="O55" s="13" t="s">
        <v>578</v>
      </c>
      <c r="P55" s="13" t="b">
        <f t="shared" si="112"/>
        <v>1</v>
      </c>
      <c r="Q55" s="13" t="s">
        <v>578</v>
      </c>
      <c r="R55" s="13" t="b">
        <f t="shared" si="87"/>
        <v>1</v>
      </c>
      <c r="S55" s="13" t="s">
        <v>332</v>
      </c>
      <c r="T55" s="13" t="b">
        <f t="shared" si="7"/>
        <v>0</v>
      </c>
      <c r="U55" s="13" t="str">
        <f t="shared" ref="U55" si="115">CONCATENATE(S55,":",T55)</f>
        <v>Web application scanning:FALSE</v>
      </c>
    </row>
    <row r="56" spans="1:21" ht="16.2" thickBot="1">
      <c r="A56" s="12" t="s">
        <v>582</v>
      </c>
      <c r="B56" s="13" t="b">
        <f t="shared" ref="B56:B62" si="116">IF(A56="Any",TRUE,Management=A56)</f>
        <v>0</v>
      </c>
      <c r="C56" s="13" t="s">
        <v>587</v>
      </c>
      <c r="D56" s="13" t="b" cm="1">
        <f t="array" ref="D56">IF(C56="Any",TRUE,ClientType=C56)</f>
        <v>0</v>
      </c>
      <c r="E56" s="13" t="s">
        <v>578</v>
      </c>
      <c r="F56" s="13" t="b">
        <f t="shared" si="88"/>
        <v>1</v>
      </c>
      <c r="G56" s="13" t="s">
        <v>578</v>
      </c>
      <c r="H56" s="13" t="b">
        <f t="shared" ref="H56:H62" si="117">IF(G56="Any",TRUE,Software=G56)</f>
        <v>1</v>
      </c>
      <c r="I56" s="13" t="s">
        <v>578</v>
      </c>
      <c r="J56" s="13" t="b">
        <f t="shared" ref="J56:J62" si="118">IF(I56="Any",TRUE,Software=I56)</f>
        <v>1</v>
      </c>
      <c r="K56" s="13" t="s">
        <v>389</v>
      </c>
      <c r="L56" s="13" t="b">
        <f t="shared" si="86"/>
        <v>1</v>
      </c>
      <c r="M56" s="13" t="s">
        <v>578</v>
      </c>
      <c r="N56" s="13" t="b">
        <f t="shared" ref="N56:N62" si="119">IF(M56="Any",TRUE,Confidentiality=M56)</f>
        <v>1</v>
      </c>
      <c r="O56" s="13" t="s">
        <v>578</v>
      </c>
      <c r="P56" s="13" t="b">
        <f t="shared" ref="P56:P62" si="120">IF(O56="Any",TRUE,Integrity=O56)</f>
        <v>1</v>
      </c>
      <c r="Q56" s="13" t="s">
        <v>578</v>
      </c>
      <c r="R56" s="13" t="b">
        <f t="shared" si="87"/>
        <v>1</v>
      </c>
      <c r="S56" s="13" t="s">
        <v>332</v>
      </c>
      <c r="T56" s="13" t="b">
        <f t="shared" si="7"/>
        <v>0</v>
      </c>
      <c r="U56" s="13" t="str">
        <f t="shared" ref="U56:U62" si="121">CONCATENATE(S56,":",T56)</f>
        <v>Web application scanning:FALSE</v>
      </c>
    </row>
    <row r="57" spans="1:21" ht="16.2" thickBot="1">
      <c r="A57" s="12" t="s">
        <v>582</v>
      </c>
      <c r="B57" s="13" t="b">
        <f t="shared" si="116"/>
        <v>0</v>
      </c>
      <c r="C57" s="13" t="s">
        <v>588</v>
      </c>
      <c r="D57" s="13" t="b" cm="1">
        <f t="array" ref="D57">IF(C57="Any",TRUE,ClientType=C57)</f>
        <v>0</v>
      </c>
      <c r="E57" s="13" t="s">
        <v>578</v>
      </c>
      <c r="F57" s="13" t="b">
        <f t="shared" si="88"/>
        <v>1</v>
      </c>
      <c r="G57" s="13" t="s">
        <v>578</v>
      </c>
      <c r="H57" s="13" t="b">
        <f t="shared" si="117"/>
        <v>1</v>
      </c>
      <c r="I57" s="13" t="s">
        <v>578</v>
      </c>
      <c r="J57" s="13" t="b">
        <f t="shared" si="118"/>
        <v>1</v>
      </c>
      <c r="K57" s="13" t="s">
        <v>589</v>
      </c>
      <c r="L57" s="13" t="b">
        <f t="shared" si="86"/>
        <v>0</v>
      </c>
      <c r="M57" s="13" t="s">
        <v>578</v>
      </c>
      <c r="N57" s="13" t="b">
        <f t="shared" si="119"/>
        <v>1</v>
      </c>
      <c r="O57" s="13" t="s">
        <v>578</v>
      </c>
      <c r="P57" s="13" t="b">
        <f t="shared" si="120"/>
        <v>1</v>
      </c>
      <c r="Q57" s="13" t="s">
        <v>578</v>
      </c>
      <c r="R57" s="13" t="b">
        <f t="shared" si="87"/>
        <v>1</v>
      </c>
      <c r="S57" s="13" t="s">
        <v>332</v>
      </c>
      <c r="T57" s="13" t="b">
        <f t="shared" si="7"/>
        <v>0</v>
      </c>
      <c r="U57" s="13" t="str">
        <f t="shared" si="121"/>
        <v>Web application scanning:FALSE</v>
      </c>
    </row>
    <row r="58" spans="1:21" ht="16.2" thickBot="1">
      <c r="A58" s="12" t="s">
        <v>582</v>
      </c>
      <c r="B58" s="13" t="b">
        <f t="shared" ref="B58" si="122">IF(A58="Any",TRUE,Management=A58)</f>
        <v>0</v>
      </c>
      <c r="C58" s="13" t="s">
        <v>590</v>
      </c>
      <c r="D58" s="13" t="b" cm="1">
        <f t="array" ref="D58">IF(C58="Any",TRUE,ClientType=C58)</f>
        <v>0</v>
      </c>
      <c r="E58" s="13" t="s">
        <v>578</v>
      </c>
      <c r="F58" s="13" t="b">
        <f t="shared" ref="F58" si="123">IF(E58="Any",TRUE,HasIntegrations=E58)</f>
        <v>1</v>
      </c>
      <c r="G58" s="13" t="s">
        <v>578</v>
      </c>
      <c r="H58" s="13" t="b">
        <f t="shared" ref="H58" si="124">IF(G58="Any",TRUE,Software=G58)</f>
        <v>1</v>
      </c>
      <c r="I58" s="13" t="s">
        <v>578</v>
      </c>
      <c r="J58" s="13" t="b">
        <f t="shared" ref="J58" si="125">IF(I58="Any",TRUE,Software=I58)</f>
        <v>1</v>
      </c>
      <c r="K58" s="13" t="s">
        <v>389</v>
      </c>
      <c r="L58" s="13" t="b">
        <f t="shared" si="86"/>
        <v>1</v>
      </c>
      <c r="M58" s="13" t="s">
        <v>578</v>
      </c>
      <c r="N58" s="13" t="b">
        <f t="shared" ref="N58" si="126">IF(M58="Any",TRUE,Confidentiality=M58)</f>
        <v>1</v>
      </c>
      <c r="O58" s="13" t="s">
        <v>578</v>
      </c>
      <c r="P58" s="13" t="b">
        <f t="shared" ref="P58" si="127">IF(O58="Any",TRUE,Integrity=O58)</f>
        <v>1</v>
      </c>
      <c r="Q58" s="13" t="s">
        <v>578</v>
      </c>
      <c r="R58" s="13" t="b">
        <f t="shared" si="87"/>
        <v>1</v>
      </c>
      <c r="S58" s="13" t="s">
        <v>332</v>
      </c>
      <c r="T58" s="13" t="b">
        <f t="shared" ref="T58" si="128">AND(B58,D58,F58,H58,J58,L58,N58,P58,R58)</f>
        <v>0</v>
      </c>
      <c r="U58" s="13" t="str">
        <f t="shared" ref="U58" si="129">CONCATENATE(S58,":",T58)</f>
        <v>Web application scanning:FALSE</v>
      </c>
    </row>
    <row r="59" spans="1:21" ht="16.2" thickBot="1">
      <c r="A59" s="12" t="s">
        <v>582</v>
      </c>
      <c r="B59" s="13" t="b">
        <f t="shared" si="116"/>
        <v>0</v>
      </c>
      <c r="C59" s="13" t="s">
        <v>586</v>
      </c>
      <c r="D59" s="13" t="b" cm="1">
        <f t="array" ref="D59">IF(C59="Any",TRUE,ClientType=C59)</f>
        <v>0</v>
      </c>
      <c r="E59" s="13" t="s">
        <v>578</v>
      </c>
      <c r="F59" s="13" t="b">
        <f t="shared" ref="F59:F61" si="130">IF(E59="Any",TRUE,HasIntegrations=E59)</f>
        <v>1</v>
      </c>
      <c r="G59" s="13" t="s">
        <v>578</v>
      </c>
      <c r="H59" s="13" t="b">
        <f t="shared" si="117"/>
        <v>1</v>
      </c>
      <c r="I59" s="13" t="s">
        <v>578</v>
      </c>
      <c r="J59" s="13" t="b">
        <f t="shared" si="118"/>
        <v>1</v>
      </c>
      <c r="K59" s="13" t="s">
        <v>395</v>
      </c>
      <c r="L59" s="13" t="b">
        <f t="shared" si="86"/>
        <v>0</v>
      </c>
      <c r="M59" s="13" t="s">
        <v>578</v>
      </c>
      <c r="N59" s="13" t="b">
        <f t="shared" si="119"/>
        <v>1</v>
      </c>
      <c r="O59" s="13" t="s">
        <v>578</v>
      </c>
      <c r="P59" s="13" t="b">
        <f t="shared" si="120"/>
        <v>1</v>
      </c>
      <c r="Q59" s="13" t="s">
        <v>578</v>
      </c>
      <c r="R59" s="13" t="b">
        <f t="shared" si="87"/>
        <v>1</v>
      </c>
      <c r="S59" s="13" t="s">
        <v>332</v>
      </c>
      <c r="T59" s="13" t="b">
        <f t="shared" ref="T59:T61" si="131">AND(B59,D59,F59,H59,J59,L59,N59,P59,R59)</f>
        <v>0</v>
      </c>
      <c r="U59" s="13" t="str">
        <f t="shared" si="121"/>
        <v>Web application scanning:FALSE</v>
      </c>
    </row>
    <row r="60" spans="1:21" ht="16.2" thickBot="1">
      <c r="A60" s="12" t="s">
        <v>582</v>
      </c>
      <c r="B60" s="13" t="b">
        <f t="shared" ref="B60:B61" si="132">IF(A60="Any",TRUE,Management=A60)</f>
        <v>0</v>
      </c>
      <c r="C60" s="13" t="s">
        <v>587</v>
      </c>
      <c r="D60" s="13" t="b" cm="1">
        <f t="array" ref="D60">IF(C60="Any",TRUE,ClientType=C60)</f>
        <v>0</v>
      </c>
      <c r="E60" s="13" t="s">
        <v>578</v>
      </c>
      <c r="F60" s="13" t="b">
        <f t="shared" si="130"/>
        <v>1</v>
      </c>
      <c r="G60" s="13" t="s">
        <v>578</v>
      </c>
      <c r="H60" s="13" t="b">
        <f t="shared" ref="H60:H61" si="133">IF(G60="Any",TRUE,Software=G60)</f>
        <v>1</v>
      </c>
      <c r="I60" s="13" t="s">
        <v>578</v>
      </c>
      <c r="J60" s="13" t="b">
        <f t="shared" ref="J60:J61" si="134">IF(I60="Any",TRUE,Software=I60)</f>
        <v>1</v>
      </c>
      <c r="K60" s="13" t="s">
        <v>395</v>
      </c>
      <c r="L60" s="13" t="b">
        <f t="shared" si="86"/>
        <v>0</v>
      </c>
      <c r="M60" s="13" t="s">
        <v>578</v>
      </c>
      <c r="N60" s="13" t="b">
        <f t="shared" ref="N60:N61" si="135">IF(M60="Any",TRUE,Confidentiality=M60)</f>
        <v>1</v>
      </c>
      <c r="O60" s="13" t="s">
        <v>578</v>
      </c>
      <c r="P60" s="13" t="b">
        <f t="shared" ref="P60:P61" si="136">IF(O60="Any",TRUE,Integrity=O60)</f>
        <v>1</v>
      </c>
      <c r="Q60" s="13" t="s">
        <v>578</v>
      </c>
      <c r="R60" s="13" t="b">
        <f t="shared" si="87"/>
        <v>1</v>
      </c>
      <c r="S60" s="13" t="s">
        <v>332</v>
      </c>
      <c r="T60" s="13" t="b">
        <f t="shared" si="131"/>
        <v>0</v>
      </c>
      <c r="U60" s="13" t="str">
        <f t="shared" ref="U60:U61" si="137">CONCATENATE(S60,":",T60)</f>
        <v>Web application scanning:FALSE</v>
      </c>
    </row>
    <row r="61" spans="1:21" ht="16.2" thickBot="1">
      <c r="A61" s="12" t="s">
        <v>582</v>
      </c>
      <c r="B61" s="13" t="b">
        <f t="shared" si="132"/>
        <v>0</v>
      </c>
      <c r="C61" s="13" t="s">
        <v>588</v>
      </c>
      <c r="D61" s="13" t="b" cm="1">
        <f t="array" ref="D61">IF(C61="Any",TRUE,ClientType=C61)</f>
        <v>0</v>
      </c>
      <c r="E61" s="13" t="s">
        <v>578</v>
      </c>
      <c r="F61" s="13" t="b">
        <f t="shared" si="130"/>
        <v>1</v>
      </c>
      <c r="G61" s="13" t="s">
        <v>578</v>
      </c>
      <c r="H61" s="13" t="b">
        <f t="shared" si="133"/>
        <v>1</v>
      </c>
      <c r="I61" s="13" t="s">
        <v>578</v>
      </c>
      <c r="J61" s="13" t="b">
        <f t="shared" si="134"/>
        <v>1</v>
      </c>
      <c r="K61" s="13" t="s">
        <v>395</v>
      </c>
      <c r="L61" s="13" t="b">
        <f t="shared" si="86"/>
        <v>0</v>
      </c>
      <c r="M61" s="13" t="s">
        <v>578</v>
      </c>
      <c r="N61" s="13" t="b">
        <f t="shared" si="135"/>
        <v>1</v>
      </c>
      <c r="O61" s="13" t="s">
        <v>578</v>
      </c>
      <c r="P61" s="13" t="b">
        <f t="shared" si="136"/>
        <v>1</v>
      </c>
      <c r="Q61" s="13" t="s">
        <v>578</v>
      </c>
      <c r="R61" s="13" t="b">
        <f t="shared" si="87"/>
        <v>1</v>
      </c>
      <c r="S61" s="13" t="s">
        <v>332</v>
      </c>
      <c r="T61" s="13" t="b">
        <f t="shared" si="131"/>
        <v>0</v>
      </c>
      <c r="U61" s="13" t="str">
        <f t="shared" si="137"/>
        <v>Web application scanning:FALSE</v>
      </c>
    </row>
    <row r="62" spans="1:21" ht="16.2" thickBot="1">
      <c r="A62" s="12" t="s">
        <v>582</v>
      </c>
      <c r="B62" s="13" t="b">
        <f t="shared" si="116"/>
        <v>0</v>
      </c>
      <c r="C62" s="13" t="s">
        <v>590</v>
      </c>
      <c r="D62" s="13" t="b" cm="1">
        <f t="array" ref="D62">IF(C62="Any",TRUE,ClientType=C62)</f>
        <v>0</v>
      </c>
      <c r="E62" s="13" t="s">
        <v>578</v>
      </c>
      <c r="F62" s="13" t="b">
        <f t="shared" si="88"/>
        <v>1</v>
      </c>
      <c r="G62" s="13" t="s">
        <v>578</v>
      </c>
      <c r="H62" s="13" t="b">
        <f t="shared" si="117"/>
        <v>1</v>
      </c>
      <c r="I62" s="13" t="s">
        <v>578</v>
      </c>
      <c r="J62" s="13" t="b">
        <f t="shared" si="118"/>
        <v>1</v>
      </c>
      <c r="K62" s="13" t="s">
        <v>395</v>
      </c>
      <c r="L62" s="13" t="b">
        <f t="shared" si="86"/>
        <v>0</v>
      </c>
      <c r="M62" s="13" t="s">
        <v>578</v>
      </c>
      <c r="N62" s="13" t="b">
        <f t="shared" si="119"/>
        <v>1</v>
      </c>
      <c r="O62" s="13" t="s">
        <v>578</v>
      </c>
      <c r="P62" s="13" t="b">
        <f t="shared" si="120"/>
        <v>1</v>
      </c>
      <c r="Q62" s="13" t="s">
        <v>578</v>
      </c>
      <c r="R62" s="13" t="b">
        <f t="shared" si="87"/>
        <v>1</v>
      </c>
      <c r="S62" s="13" t="s">
        <v>332</v>
      </c>
      <c r="T62" s="13" t="b">
        <f t="shared" si="7"/>
        <v>0</v>
      </c>
      <c r="U62" s="13" t="str">
        <f t="shared" si="121"/>
        <v>Web application scanning:FALSE</v>
      </c>
    </row>
    <row r="63" spans="1:21" ht="16.2" thickBot="1">
      <c r="A63" s="12" t="s">
        <v>582</v>
      </c>
      <c r="B63" s="13" t="b">
        <f t="shared" si="90"/>
        <v>0</v>
      </c>
      <c r="C63" s="13" t="s">
        <v>578</v>
      </c>
      <c r="D63" s="13" t="b" cm="1">
        <f t="array" ref="D63">IF(C63="Any",TRUE,ClientType=C63)</f>
        <v>1</v>
      </c>
      <c r="E63" s="13" t="s">
        <v>578</v>
      </c>
      <c r="F63" s="13" t="b">
        <f t="shared" si="88"/>
        <v>1</v>
      </c>
      <c r="G63" s="13" t="s">
        <v>578</v>
      </c>
      <c r="H63" s="13" t="b">
        <f t="shared" si="91"/>
        <v>1</v>
      </c>
      <c r="I63" s="13" t="s">
        <v>583</v>
      </c>
      <c r="J63" s="13" t="b">
        <f>IF(I63="Any",TRUE,Hosting=I63)</f>
        <v>0</v>
      </c>
      <c r="K63" s="13" t="s">
        <v>578</v>
      </c>
      <c r="L63" s="13" t="b">
        <f t="shared" si="86"/>
        <v>1</v>
      </c>
      <c r="M63" s="13" t="s">
        <v>42</v>
      </c>
      <c r="N63" s="13" t="b">
        <f t="shared" si="92"/>
        <v>1</v>
      </c>
      <c r="O63" s="13" t="s">
        <v>578</v>
      </c>
      <c r="P63" s="13" t="b">
        <f t="shared" si="93"/>
        <v>1</v>
      </c>
      <c r="Q63" s="13" t="s">
        <v>578</v>
      </c>
      <c r="R63" s="13" t="b">
        <f t="shared" si="87"/>
        <v>1</v>
      </c>
      <c r="S63" s="13" t="s">
        <v>188</v>
      </c>
      <c r="T63" s="13" t="b">
        <f t="shared" si="7"/>
        <v>0</v>
      </c>
      <c r="U63" s="13" t="str">
        <f t="shared" si="8"/>
        <v>Encryption at rest:FALSE</v>
      </c>
    </row>
    <row r="64" spans="1:21" ht="16.2" thickBot="1">
      <c r="A64" s="12" t="s">
        <v>582</v>
      </c>
      <c r="B64" s="13" t="b">
        <f t="shared" ref="B64" si="138">IF(A64="Any",TRUE,Management=A64)</f>
        <v>0</v>
      </c>
      <c r="C64" s="13" t="s">
        <v>578</v>
      </c>
      <c r="D64" s="13" t="b" cm="1">
        <f t="array" ref="D64">IF(C64="Any",TRUE,ClientType=C64)</f>
        <v>1</v>
      </c>
      <c r="E64" s="13" t="s">
        <v>578</v>
      </c>
      <c r="F64" s="13" t="b">
        <f t="shared" si="88"/>
        <v>1</v>
      </c>
      <c r="G64" s="13" t="s">
        <v>578</v>
      </c>
      <c r="H64" s="13" t="b">
        <f t="shared" ref="H64" si="139">IF(G64="Any",TRUE,Software=G64)</f>
        <v>1</v>
      </c>
      <c r="I64" s="13" t="s">
        <v>591</v>
      </c>
      <c r="J64" s="13" t="b">
        <f>IF(I64="Any",TRUE,Hosting=I64)</f>
        <v>0</v>
      </c>
      <c r="K64" s="13" t="s">
        <v>578</v>
      </c>
      <c r="L64" s="13" t="b">
        <f t="shared" si="86"/>
        <v>1</v>
      </c>
      <c r="M64" s="13" t="s">
        <v>42</v>
      </c>
      <c r="N64" s="13" t="b">
        <f t="shared" ref="N64" si="140">IF(M64="Any",TRUE,Confidentiality=M64)</f>
        <v>1</v>
      </c>
      <c r="O64" s="13" t="s">
        <v>578</v>
      </c>
      <c r="P64" s="13" t="b">
        <f t="shared" ref="P64" si="141">IF(O64="Any",TRUE,Integrity=O64)</f>
        <v>1</v>
      </c>
      <c r="Q64" s="13" t="s">
        <v>578</v>
      </c>
      <c r="R64" s="13" t="b">
        <f t="shared" si="87"/>
        <v>1</v>
      </c>
      <c r="S64" s="13" t="s">
        <v>188</v>
      </c>
      <c r="T64" s="13" t="b">
        <f t="shared" si="7"/>
        <v>0</v>
      </c>
      <c r="U64" s="13" t="str">
        <f t="shared" ref="U64" si="142">CONCATENATE(S64,":",T64)</f>
        <v>Encryption at rest:FALSE</v>
      </c>
    </row>
    <row r="65" spans="1:21" ht="16.2" thickBot="1">
      <c r="A65" s="12" t="s">
        <v>582</v>
      </c>
      <c r="B65" s="13" t="b">
        <f t="shared" si="90"/>
        <v>0</v>
      </c>
      <c r="C65" s="13" t="s">
        <v>578</v>
      </c>
      <c r="D65" s="13" t="b" cm="1">
        <f t="array" ref="D65">IF(C65="Any",TRUE,ClientType=C65)</f>
        <v>1</v>
      </c>
      <c r="E65" s="13" t="s">
        <v>578</v>
      </c>
      <c r="F65" s="13" t="b">
        <f t="shared" si="88"/>
        <v>1</v>
      </c>
      <c r="G65" s="13" t="s">
        <v>578</v>
      </c>
      <c r="H65" s="13" t="b">
        <f t="shared" si="91"/>
        <v>1</v>
      </c>
      <c r="I65" s="13" t="s">
        <v>578</v>
      </c>
      <c r="J65" s="13" t="b">
        <f t="shared" si="82"/>
        <v>1</v>
      </c>
      <c r="K65" s="13" t="s">
        <v>578</v>
      </c>
      <c r="L65" s="13" t="b">
        <f t="shared" si="86"/>
        <v>1</v>
      </c>
      <c r="M65" s="13" t="s">
        <v>393</v>
      </c>
      <c r="N65" s="13" t="b">
        <f t="shared" si="92"/>
        <v>0</v>
      </c>
      <c r="O65" s="13" t="s">
        <v>578</v>
      </c>
      <c r="P65" s="13" t="b">
        <f t="shared" si="93"/>
        <v>1</v>
      </c>
      <c r="Q65" s="13" t="s">
        <v>578</v>
      </c>
      <c r="R65" s="13" t="b">
        <f t="shared" si="87"/>
        <v>1</v>
      </c>
      <c r="S65" s="13" t="s">
        <v>188</v>
      </c>
      <c r="T65" s="13" t="b">
        <f t="shared" si="7"/>
        <v>0</v>
      </c>
      <c r="U65" s="13" t="str">
        <f t="shared" si="8"/>
        <v>Encryption at rest:FALSE</v>
      </c>
    </row>
    <row r="66" spans="1:21" ht="16.2" thickBot="1">
      <c r="A66" s="12" t="s">
        <v>582</v>
      </c>
      <c r="B66" s="13" t="b">
        <f t="shared" si="90"/>
        <v>0</v>
      </c>
      <c r="C66" s="13" t="s">
        <v>578</v>
      </c>
      <c r="D66" s="13" t="b" cm="1">
        <f t="array" ref="D66">IF(C66="Any",TRUE,ClientType=C66)</f>
        <v>1</v>
      </c>
      <c r="E66" s="13" t="s">
        <v>578</v>
      </c>
      <c r="F66" s="13" t="b">
        <f t="shared" si="88"/>
        <v>1</v>
      </c>
      <c r="G66" s="13" t="s">
        <v>578</v>
      </c>
      <c r="H66" s="13" t="b">
        <f t="shared" si="91"/>
        <v>1</v>
      </c>
      <c r="I66" s="13" t="s">
        <v>578</v>
      </c>
      <c r="J66" s="13" t="b">
        <f t="shared" si="82"/>
        <v>1</v>
      </c>
      <c r="K66" s="13" t="s">
        <v>578</v>
      </c>
      <c r="L66" s="13" t="b">
        <f t="shared" si="86"/>
        <v>1</v>
      </c>
      <c r="M66" s="13" t="s">
        <v>578</v>
      </c>
      <c r="N66" s="13" t="b">
        <f t="shared" si="92"/>
        <v>1</v>
      </c>
      <c r="O66" s="13" t="s">
        <v>578</v>
      </c>
      <c r="P66" s="13" t="b">
        <f t="shared" si="93"/>
        <v>1</v>
      </c>
      <c r="Q66" s="13" t="s">
        <v>397</v>
      </c>
      <c r="R66" s="13" t="b">
        <f t="shared" si="87"/>
        <v>0</v>
      </c>
      <c r="S66" s="13" t="s">
        <v>141</v>
      </c>
      <c r="T66" s="13" t="b">
        <f t="shared" si="7"/>
        <v>0</v>
      </c>
      <c r="U66" s="13" t="str">
        <f t="shared" si="8"/>
        <v>High availability (4 hours unscheduled downtime):FALSE</v>
      </c>
    </row>
    <row r="67" spans="1:21" ht="16.2" thickBot="1">
      <c r="A67" s="12" t="s">
        <v>582</v>
      </c>
      <c r="B67" s="13" t="b">
        <f t="shared" ref="B67" si="143">IF(A67="Any",TRUE,Management=A67)</f>
        <v>0</v>
      </c>
      <c r="C67" s="13" t="s">
        <v>578</v>
      </c>
      <c r="D67" s="13" t="b" cm="1">
        <f t="array" ref="D67">IF(C67="Any",TRUE,ClientType=C67)</f>
        <v>1</v>
      </c>
      <c r="E67" s="13" t="s">
        <v>578</v>
      </c>
      <c r="F67" s="13" t="b">
        <f t="shared" si="88"/>
        <v>1</v>
      </c>
      <c r="G67" s="13" t="s">
        <v>578</v>
      </c>
      <c r="H67" s="13" t="b">
        <f t="shared" ref="H67" si="144">IF(G67="Any",TRUE,Software=G67)</f>
        <v>1</v>
      </c>
      <c r="I67" s="13" t="s">
        <v>578</v>
      </c>
      <c r="J67" s="13" t="b">
        <f t="shared" si="82"/>
        <v>1</v>
      </c>
      <c r="K67" s="13" t="s">
        <v>578</v>
      </c>
      <c r="L67" s="13" t="b">
        <f t="shared" si="86"/>
        <v>1</v>
      </c>
      <c r="M67" s="13" t="s">
        <v>578</v>
      </c>
      <c r="N67" s="13" t="b">
        <f t="shared" ref="N67" si="145">IF(M67="Any",TRUE,Confidentiality=M67)</f>
        <v>1</v>
      </c>
      <c r="O67" s="13" t="s">
        <v>578</v>
      </c>
      <c r="P67" s="13" t="b">
        <f t="shared" ref="P67" si="146">IF(O67="Any",TRUE,Integrity=O67)</f>
        <v>1</v>
      </c>
      <c r="Q67" s="13" t="s">
        <v>391</v>
      </c>
      <c r="R67" s="13" t="b">
        <f t="shared" si="87"/>
        <v>0</v>
      </c>
      <c r="S67" s="13" t="s">
        <v>144</v>
      </c>
      <c r="T67" s="13" t="b">
        <f t="shared" si="7"/>
        <v>0</v>
      </c>
      <c r="U67" s="13" t="str">
        <f t="shared" ref="U67" si="147">CONCATENATE(S67,":",T67)</f>
        <v>High availability (8 hours unscheduled downtime):FALSE</v>
      </c>
    </row>
    <row r="68" spans="1:21" ht="16.2" thickBot="1">
      <c r="A68" s="12" t="s">
        <v>582</v>
      </c>
      <c r="B68" s="13" t="b">
        <f t="shared" ref="B68" si="148">IF(A68="Any",TRUE,Management=A68)</f>
        <v>0</v>
      </c>
      <c r="C68" s="13" t="s">
        <v>578</v>
      </c>
      <c r="D68" s="13" t="b" cm="1">
        <f t="array" ref="D68">IF(C68="Any",TRUE,ClientType=C68)</f>
        <v>1</v>
      </c>
      <c r="E68" s="13" t="s">
        <v>578</v>
      </c>
      <c r="F68" s="13" t="b">
        <f t="shared" si="88"/>
        <v>1</v>
      </c>
      <c r="G68" s="13" t="s">
        <v>578</v>
      </c>
      <c r="H68" s="13" t="b">
        <f t="shared" ref="H68" si="149">IF(G68="Any",TRUE,Software=G68)</f>
        <v>1</v>
      </c>
      <c r="I68" s="13" t="s">
        <v>578</v>
      </c>
      <c r="J68" s="13" t="b">
        <f t="shared" ref="J68" si="150">IF(I68="Any",TRUE,Software=I68)</f>
        <v>1</v>
      </c>
      <c r="K68" s="13" t="s">
        <v>578</v>
      </c>
      <c r="L68" s="13" t="b">
        <f t="shared" si="86"/>
        <v>1</v>
      </c>
      <c r="M68" s="13" t="s">
        <v>578</v>
      </c>
      <c r="N68" s="13" t="b">
        <f t="shared" ref="N68" si="151">IF(M68="Any",TRUE,Confidentiality=M68)</f>
        <v>1</v>
      </c>
      <c r="O68" s="13" t="s">
        <v>578</v>
      </c>
      <c r="P68" s="13" t="b">
        <f t="shared" ref="P68" si="152">IF(O68="Any",TRUE,Integrity=O68)</f>
        <v>1</v>
      </c>
      <c r="Q68" s="13" t="s">
        <v>387</v>
      </c>
      <c r="R68" s="13" t="b">
        <f t="shared" si="87"/>
        <v>1</v>
      </c>
      <c r="S68" s="13" t="s">
        <v>138</v>
      </c>
      <c r="T68" s="13" t="b">
        <f t="shared" si="7"/>
        <v>0</v>
      </c>
      <c r="U68" s="13" t="str">
        <f t="shared" ref="U68" si="153">CONCATENATE(S68,":",T68)</f>
        <v>High availability (16 hours unscheduled downtime):FALSE</v>
      </c>
    </row>
    <row r="69" spans="1:21" ht="16.2" thickBot="1">
      <c r="A69" s="12" t="s">
        <v>582</v>
      </c>
      <c r="B69" s="13" t="b">
        <f>IF(A69="Any",TRUE,Management=A69)</f>
        <v>0</v>
      </c>
      <c r="C69" s="13" t="s">
        <v>578</v>
      </c>
      <c r="D69" s="13" t="b" cm="1">
        <f t="array" ref="D69">IF(C69="Any",TRUE,ClientType=C69)</f>
        <v>1</v>
      </c>
      <c r="E69" s="13" t="s">
        <v>578</v>
      </c>
      <c r="F69" s="13" t="b">
        <f t="shared" si="88"/>
        <v>1</v>
      </c>
      <c r="G69" s="13" t="s">
        <v>578</v>
      </c>
      <c r="H69" s="13" t="b">
        <f>IF(G69="Any",TRUE,Software=G69)</f>
        <v>1</v>
      </c>
      <c r="I69" s="13" t="s">
        <v>578</v>
      </c>
      <c r="J69" s="13" t="b">
        <f>IF(I69="Any",TRUE,Software=I69)</f>
        <v>1</v>
      </c>
      <c r="K69" s="13" t="s">
        <v>389</v>
      </c>
      <c r="L69" s="13" t="b">
        <f t="shared" si="86"/>
        <v>1</v>
      </c>
      <c r="M69" s="13" t="s">
        <v>578</v>
      </c>
      <c r="N69" s="13" t="b">
        <f>IF(M69="Any",TRUE,Confidentiality=M69)</f>
        <v>1</v>
      </c>
      <c r="O69" s="13" t="s">
        <v>578</v>
      </c>
      <c r="P69" s="13" t="b">
        <f>IF(O69="Any",TRUE,Integrity=O69)</f>
        <v>1</v>
      </c>
      <c r="Q69" s="13" t="s">
        <v>578</v>
      </c>
      <c r="R69" s="13" t="b">
        <f t="shared" si="87"/>
        <v>1</v>
      </c>
      <c r="S69" s="13" t="s">
        <v>315</v>
      </c>
      <c r="T69" s="13" t="b">
        <f t="shared" si="7"/>
        <v>0</v>
      </c>
      <c r="U69" s="13" t="str">
        <f>CONCATENATE(S69,":",T69)</f>
        <v>Penetration testing (2 years):FALSE</v>
      </c>
    </row>
    <row r="70" spans="1:21" ht="16.2" thickBot="1">
      <c r="A70" s="12" t="s">
        <v>582</v>
      </c>
      <c r="B70" s="13" t="b">
        <f>IF(A70="Any",TRUE,Management=A70)</f>
        <v>0</v>
      </c>
      <c r="C70" s="13" t="s">
        <v>578</v>
      </c>
      <c r="D70" s="13" t="b" cm="1">
        <f t="array" ref="D70">IF(C70="Any",TRUE,ClientType=C70)</f>
        <v>1</v>
      </c>
      <c r="E70" s="13" t="s">
        <v>578</v>
      </c>
      <c r="F70" s="13" t="b">
        <f t="shared" si="88"/>
        <v>1</v>
      </c>
      <c r="G70" s="13" t="s">
        <v>578</v>
      </c>
      <c r="H70" s="13" t="b">
        <f>IF(G70="Any",TRUE,Software=G70)</f>
        <v>1</v>
      </c>
      <c r="I70" s="13" t="s">
        <v>578</v>
      </c>
      <c r="J70" s="13" t="b">
        <f>IF(I70="Any",TRUE,Software=I70)</f>
        <v>1</v>
      </c>
      <c r="K70" s="13" t="s">
        <v>395</v>
      </c>
      <c r="L70" s="13" t="b">
        <f t="shared" si="86"/>
        <v>0</v>
      </c>
      <c r="M70" s="13" t="s">
        <v>578</v>
      </c>
      <c r="N70" s="13" t="b">
        <f>IF(M70="Any",TRUE,Confidentiality=M70)</f>
        <v>1</v>
      </c>
      <c r="O70" s="13" t="s">
        <v>578</v>
      </c>
      <c r="P70" s="13" t="b">
        <f>IF(O70="Any",TRUE,Integrity=O70)</f>
        <v>1</v>
      </c>
      <c r="Q70" s="13" t="s">
        <v>578</v>
      </c>
      <c r="R70" s="13" t="b">
        <f t="shared" si="87"/>
        <v>1</v>
      </c>
      <c r="S70" s="13" t="s">
        <v>311</v>
      </c>
      <c r="T70" s="13" t="b">
        <f t="shared" si="7"/>
        <v>0</v>
      </c>
      <c r="U70" s="13" t="str">
        <f>CONCATENATE(S70,":",T70)</f>
        <v>Penetration testing (annual):FALSE</v>
      </c>
    </row>
    <row r="71" spans="1:21" ht="31.8" thickBot="1">
      <c r="A71" s="12" t="s">
        <v>592</v>
      </c>
      <c r="B71" s="13" t="b">
        <f>IF(A71="Any",TRUE,Management=A71)</f>
        <v>0</v>
      </c>
      <c r="C71" s="13" t="s">
        <v>578</v>
      </c>
      <c r="D71" s="13" t="b" cm="1">
        <f t="array" ref="D71">IF(C71="Any",TRUE,ClientType=C71)</f>
        <v>1</v>
      </c>
      <c r="E71" s="13" t="s">
        <v>578</v>
      </c>
      <c r="F71" s="13" t="b">
        <f t="shared" si="88"/>
        <v>1</v>
      </c>
      <c r="G71" s="13" t="s">
        <v>578</v>
      </c>
      <c r="H71" s="13" t="b">
        <f>IF(G71="Any",TRUE,Software=G71)</f>
        <v>1</v>
      </c>
      <c r="I71" s="13" t="s">
        <v>578</v>
      </c>
      <c r="J71" s="13" t="b">
        <f>IF(I71="Any",TRUE,Software=I71)</f>
        <v>1</v>
      </c>
      <c r="K71" s="13" t="s">
        <v>389</v>
      </c>
      <c r="L71" s="13" t="b">
        <f t="shared" si="86"/>
        <v>1</v>
      </c>
      <c r="M71" s="13" t="s">
        <v>578</v>
      </c>
      <c r="N71" s="13" t="b">
        <f>IF(M71="Any",TRUE,Confidentiality=M71)</f>
        <v>1</v>
      </c>
      <c r="O71" s="13" t="s">
        <v>578</v>
      </c>
      <c r="P71" s="13" t="b">
        <f>IF(O71="Any",TRUE,Integrity=O71)</f>
        <v>1</v>
      </c>
      <c r="Q71" s="13" t="s">
        <v>578</v>
      </c>
      <c r="R71" s="13" t="b">
        <f t="shared" si="87"/>
        <v>1</v>
      </c>
      <c r="S71" s="13" t="s">
        <v>315</v>
      </c>
      <c r="T71" s="13" t="b">
        <f t="shared" si="7"/>
        <v>0</v>
      </c>
      <c r="U71" s="13" t="str">
        <f>CONCATENATE(S71,":",T71)</f>
        <v>Penetration testing (2 years):FALSE</v>
      </c>
    </row>
    <row r="72" spans="1:21" ht="31.8" thickBot="1">
      <c r="A72" s="12" t="s">
        <v>592</v>
      </c>
      <c r="B72" s="13" t="b">
        <f>IF(A72="Any",TRUE,Management=A72)</f>
        <v>0</v>
      </c>
      <c r="C72" s="13" t="s">
        <v>578</v>
      </c>
      <c r="D72" s="13" t="b" cm="1">
        <f t="array" ref="D72">IF(C72="Any",TRUE,ClientType=C72)</f>
        <v>1</v>
      </c>
      <c r="E72" s="13" t="s">
        <v>578</v>
      </c>
      <c r="F72" s="13" t="b">
        <f t="shared" si="88"/>
        <v>1</v>
      </c>
      <c r="G72" s="13" t="s">
        <v>578</v>
      </c>
      <c r="H72" s="13" t="b">
        <f>IF(G72="Any",TRUE,Software=G72)</f>
        <v>1</v>
      </c>
      <c r="I72" s="13" t="s">
        <v>578</v>
      </c>
      <c r="J72" s="13" t="b">
        <f>IF(I72="Any",TRUE,Software=I72)</f>
        <v>1</v>
      </c>
      <c r="K72" s="13" t="s">
        <v>395</v>
      </c>
      <c r="L72" s="13" t="b">
        <f t="shared" ref="L72:L109" si="154">IF(K72="Any",TRUE,ApplicationTier=K72)</f>
        <v>0</v>
      </c>
      <c r="M72" s="13" t="s">
        <v>578</v>
      </c>
      <c r="N72" s="13" t="b">
        <f>IF(M72="Any",TRUE,Confidentiality=M72)</f>
        <v>1</v>
      </c>
      <c r="O72" s="13" t="s">
        <v>578</v>
      </c>
      <c r="P72" s="13" t="b">
        <f>IF(O72="Any",TRUE,Integrity=O72)</f>
        <v>1</v>
      </c>
      <c r="Q72" s="13" t="s">
        <v>578</v>
      </c>
      <c r="R72" s="13" t="b">
        <f t="shared" ref="R72:R109" si="155">IF(Q72="Any",TRUE,Availability=Q72)</f>
        <v>1</v>
      </c>
      <c r="S72" s="13" t="s">
        <v>311</v>
      </c>
      <c r="T72" s="13" t="b">
        <f t="shared" si="7"/>
        <v>0</v>
      </c>
      <c r="U72" s="13" t="str">
        <f>CONCATENATE(S72,":",T72)</f>
        <v>Penetration testing (annual):FALSE</v>
      </c>
    </row>
    <row r="73" spans="1:21" ht="16.2" thickBot="1">
      <c r="A73" s="12" t="s">
        <v>582</v>
      </c>
      <c r="B73" s="13" t="b">
        <f t="shared" si="90"/>
        <v>0</v>
      </c>
      <c r="C73" s="13" t="s">
        <v>578</v>
      </c>
      <c r="D73" s="13" t="b" cm="1">
        <f t="array" ref="D73">IF(C73="Any",TRUE,ClientType=C73)</f>
        <v>1</v>
      </c>
      <c r="E73" s="13" t="s">
        <v>578</v>
      </c>
      <c r="F73" s="13" t="b">
        <f t="shared" ref="F73:F109" si="156">IF(E73="Any",TRUE,HasIntegrations=E73)</f>
        <v>1</v>
      </c>
      <c r="G73" s="13" t="s">
        <v>578</v>
      </c>
      <c r="H73" s="13" t="b">
        <f t="shared" si="91"/>
        <v>1</v>
      </c>
      <c r="I73" s="13" t="s">
        <v>578</v>
      </c>
      <c r="J73" s="13" t="b">
        <f t="shared" si="82"/>
        <v>1</v>
      </c>
      <c r="K73" s="13" t="s">
        <v>578</v>
      </c>
      <c r="L73" s="13" t="b">
        <f t="shared" si="154"/>
        <v>1</v>
      </c>
      <c r="M73" s="13" t="s">
        <v>578</v>
      </c>
      <c r="N73" s="13" t="b">
        <f t="shared" si="92"/>
        <v>1</v>
      </c>
      <c r="O73" s="13" t="s">
        <v>578</v>
      </c>
      <c r="P73" s="13" t="b">
        <f t="shared" si="93"/>
        <v>1</v>
      </c>
      <c r="Q73" s="13" t="s">
        <v>397</v>
      </c>
      <c r="R73" s="13" t="b">
        <f t="shared" si="155"/>
        <v>0</v>
      </c>
      <c r="S73" s="13" t="s">
        <v>129</v>
      </c>
      <c r="T73" s="13" t="b">
        <f t="shared" si="7"/>
        <v>0</v>
      </c>
      <c r="U73" s="13" t="str">
        <f t="shared" si="8"/>
        <v>Failover testing:FALSE</v>
      </c>
    </row>
    <row r="74" spans="1:21" ht="16.2" thickBot="1">
      <c r="A74" s="12" t="s">
        <v>582</v>
      </c>
      <c r="B74" s="13" t="b">
        <f>IF(A74="Any",TRUE,Management=A74)</f>
        <v>0</v>
      </c>
      <c r="C74" s="13" t="s">
        <v>578</v>
      </c>
      <c r="D74" s="13" t="b" cm="1">
        <f t="array" ref="D74">IF(C74="Any",TRUE,ClientType=C74)</f>
        <v>1</v>
      </c>
      <c r="E74" s="13" t="s">
        <v>578</v>
      </c>
      <c r="F74" s="13" t="b">
        <f t="shared" si="156"/>
        <v>1</v>
      </c>
      <c r="G74" s="13" t="s">
        <v>578</v>
      </c>
      <c r="H74" s="13" t="b">
        <f>IF(G74="Any",TRUE,Software=G74)</f>
        <v>1</v>
      </c>
      <c r="I74" s="13" t="s">
        <v>578</v>
      </c>
      <c r="J74" s="13" t="b">
        <f t="shared" si="82"/>
        <v>1</v>
      </c>
      <c r="K74" s="13" t="s">
        <v>578</v>
      </c>
      <c r="L74" s="13" t="b">
        <f t="shared" si="154"/>
        <v>1</v>
      </c>
      <c r="M74" s="13" t="s">
        <v>578</v>
      </c>
      <c r="N74" s="13" t="b">
        <f>IF(M74="Any",TRUE,Confidentiality=M74)</f>
        <v>1</v>
      </c>
      <c r="O74" s="13" t="s">
        <v>578</v>
      </c>
      <c r="P74" s="13" t="b">
        <f>IF(O74="Any",TRUE,Integrity=O74)</f>
        <v>1</v>
      </c>
      <c r="Q74" s="13" t="s">
        <v>391</v>
      </c>
      <c r="R74" s="13" t="b">
        <f t="shared" si="155"/>
        <v>0</v>
      </c>
      <c r="S74" s="13" t="s">
        <v>132</v>
      </c>
      <c r="T74" s="13" t="b">
        <f t="shared" ref="T74:T108" si="157">AND(B74,D74,F74,H74,J74,L74,N74,P74,R74)</f>
        <v>0</v>
      </c>
      <c r="U74" s="13" t="str">
        <f>CONCATENATE(S74,":",T74)</f>
        <v>Failover testing (6 months):FALSE</v>
      </c>
    </row>
    <row r="75" spans="1:21" ht="16.2" thickBot="1">
      <c r="A75" s="12" t="s">
        <v>582</v>
      </c>
      <c r="B75" s="13" t="b">
        <f t="shared" si="90"/>
        <v>0</v>
      </c>
      <c r="C75" s="13" t="s">
        <v>578</v>
      </c>
      <c r="D75" s="13" t="b" cm="1">
        <f t="array" ref="D75">IF(C75="Any",TRUE,ClientType=C75)</f>
        <v>1</v>
      </c>
      <c r="E75" s="13" t="s">
        <v>578</v>
      </c>
      <c r="F75" s="13" t="b">
        <f t="shared" si="156"/>
        <v>1</v>
      </c>
      <c r="G75" s="13" t="s">
        <v>578</v>
      </c>
      <c r="H75" s="13" t="b">
        <f t="shared" si="91"/>
        <v>1</v>
      </c>
      <c r="I75" s="13" t="s">
        <v>578</v>
      </c>
      <c r="J75" s="13" t="b">
        <f t="shared" si="82"/>
        <v>1</v>
      </c>
      <c r="K75" s="13" t="s">
        <v>578</v>
      </c>
      <c r="L75" s="13" t="b">
        <f t="shared" si="154"/>
        <v>1</v>
      </c>
      <c r="M75" s="13" t="s">
        <v>578</v>
      </c>
      <c r="N75" s="13" t="b">
        <f t="shared" si="92"/>
        <v>1</v>
      </c>
      <c r="O75" s="13" t="s">
        <v>578</v>
      </c>
      <c r="P75" s="13" t="b">
        <f t="shared" si="93"/>
        <v>1</v>
      </c>
      <c r="Q75" s="13" t="s">
        <v>397</v>
      </c>
      <c r="R75" s="13" t="b">
        <f t="shared" si="155"/>
        <v>0</v>
      </c>
      <c r="S75" s="13" t="s">
        <v>135</v>
      </c>
      <c r="T75" s="13" t="b">
        <f t="shared" si="157"/>
        <v>0</v>
      </c>
      <c r="U75" s="13" t="str">
        <f t="shared" si="8"/>
        <v>Full capacity on failover:FALSE</v>
      </c>
    </row>
    <row r="76" spans="1:21" ht="16.2" thickBot="1">
      <c r="A76" s="12" t="s">
        <v>582</v>
      </c>
      <c r="B76" s="13" t="b">
        <f t="shared" si="90"/>
        <v>0</v>
      </c>
      <c r="C76" s="13" t="s">
        <v>578</v>
      </c>
      <c r="D76" s="13" t="b" cm="1">
        <f t="array" ref="D76">IF(C76="Any",TRUE,ClientType=C76)</f>
        <v>1</v>
      </c>
      <c r="E76" s="13" t="s">
        <v>578</v>
      </c>
      <c r="F76" s="13" t="b">
        <f t="shared" si="156"/>
        <v>1</v>
      </c>
      <c r="G76" s="13" t="s">
        <v>578</v>
      </c>
      <c r="H76" s="13" t="b">
        <f t="shared" si="91"/>
        <v>1</v>
      </c>
      <c r="I76" s="13" t="s">
        <v>578</v>
      </c>
      <c r="J76" s="13" t="b">
        <f t="shared" si="82"/>
        <v>1</v>
      </c>
      <c r="K76" s="13" t="s">
        <v>395</v>
      </c>
      <c r="L76" s="13" t="b">
        <f t="shared" si="154"/>
        <v>0</v>
      </c>
      <c r="M76" s="13" t="s">
        <v>578</v>
      </c>
      <c r="N76" s="13" t="b">
        <f t="shared" si="92"/>
        <v>1</v>
      </c>
      <c r="O76" s="13" t="s">
        <v>578</v>
      </c>
      <c r="P76" s="13" t="b">
        <f t="shared" si="93"/>
        <v>1</v>
      </c>
      <c r="Q76" s="13" t="s">
        <v>578</v>
      </c>
      <c r="R76" s="13" t="b">
        <f t="shared" si="155"/>
        <v>1</v>
      </c>
      <c r="S76" s="13" t="s">
        <v>175</v>
      </c>
      <c r="T76" s="13" t="b">
        <f t="shared" si="157"/>
        <v>0</v>
      </c>
      <c r="U76" s="13" t="str">
        <f t="shared" si="8"/>
        <v>Data backup:FALSE</v>
      </c>
    </row>
    <row r="77" spans="1:21" ht="16.2" thickBot="1">
      <c r="A77" s="12" t="s">
        <v>582</v>
      </c>
      <c r="B77" s="13" t="b">
        <f t="shared" si="90"/>
        <v>0</v>
      </c>
      <c r="C77" s="13" t="s">
        <v>578</v>
      </c>
      <c r="D77" s="13" t="b" cm="1">
        <f t="array" ref="D77">IF(C77="Any",TRUE,ClientType=C77)</f>
        <v>1</v>
      </c>
      <c r="E77" s="13" t="s">
        <v>578</v>
      </c>
      <c r="F77" s="13" t="b">
        <f t="shared" si="156"/>
        <v>1</v>
      </c>
      <c r="G77" s="13" t="s">
        <v>578</v>
      </c>
      <c r="H77" s="13" t="b">
        <f t="shared" si="91"/>
        <v>1</v>
      </c>
      <c r="I77" s="13" t="s">
        <v>578</v>
      </c>
      <c r="J77" s="13" t="b">
        <f t="shared" si="82"/>
        <v>1</v>
      </c>
      <c r="K77" s="13" t="s">
        <v>389</v>
      </c>
      <c r="L77" s="13" t="b">
        <f t="shared" si="154"/>
        <v>1</v>
      </c>
      <c r="M77" s="13" t="s">
        <v>578</v>
      </c>
      <c r="N77" s="13" t="b">
        <f t="shared" si="92"/>
        <v>1</v>
      </c>
      <c r="O77" s="13" t="s">
        <v>578</v>
      </c>
      <c r="P77" s="13" t="b">
        <f t="shared" si="93"/>
        <v>1</v>
      </c>
      <c r="Q77" s="13" t="s">
        <v>578</v>
      </c>
      <c r="R77" s="13" t="b">
        <f t="shared" si="155"/>
        <v>1</v>
      </c>
      <c r="S77" s="13" t="s">
        <v>179</v>
      </c>
      <c r="T77" s="13" t="b">
        <f t="shared" si="157"/>
        <v>0</v>
      </c>
      <c r="U77" s="13" t="str">
        <f t="shared" si="8"/>
        <v>Data restoration testing:FALSE</v>
      </c>
    </row>
    <row r="78" spans="1:21" ht="16.2" thickBot="1">
      <c r="A78" s="12" t="s">
        <v>582</v>
      </c>
      <c r="B78" s="13" t="b">
        <f t="shared" ref="B78:B79" si="158">IF(A78="Any",TRUE,Management=A78)</f>
        <v>0</v>
      </c>
      <c r="C78" s="13" t="s">
        <v>578</v>
      </c>
      <c r="D78" s="13" t="b" cm="1">
        <f t="array" ref="D78">IF(C78="Any",TRUE,ClientType=C78)</f>
        <v>1</v>
      </c>
      <c r="E78" s="13" t="s">
        <v>578</v>
      </c>
      <c r="F78" s="13" t="b">
        <f t="shared" ref="F78:F79" si="159">IF(E78="Any",TRUE,HasIntegrations=E78)</f>
        <v>1</v>
      </c>
      <c r="G78" s="13" t="s">
        <v>578</v>
      </c>
      <c r="H78" s="13" t="b">
        <f t="shared" ref="H78:H79" si="160">IF(G78="Any",TRUE,Software=G78)</f>
        <v>1</v>
      </c>
      <c r="I78" s="13" t="s">
        <v>578</v>
      </c>
      <c r="J78" s="13" t="b">
        <f t="shared" ref="J78:J79" si="161">IF(I78="Any",TRUE,Software=I78)</f>
        <v>1</v>
      </c>
      <c r="K78" s="13" t="s">
        <v>578</v>
      </c>
      <c r="L78" s="13" t="b">
        <f t="shared" ref="L78:L79" si="162">IF(K78="Any",TRUE,ApplicationTier=K78)</f>
        <v>1</v>
      </c>
      <c r="M78" s="13" t="s">
        <v>578</v>
      </c>
      <c r="N78" s="13" t="b">
        <f t="shared" ref="N78:N79" si="163">IF(M78="Any",TRUE,Confidentiality=M78)</f>
        <v>1</v>
      </c>
      <c r="O78" s="13" t="s">
        <v>578</v>
      </c>
      <c r="P78" s="13" t="b">
        <f t="shared" ref="P78:P79" si="164">IF(O78="Any",TRUE,Integrity=O78)</f>
        <v>1</v>
      </c>
      <c r="Q78" s="13" t="s">
        <v>578</v>
      </c>
      <c r="R78" s="13" t="b">
        <f t="shared" ref="R78:R79" si="165">IF(Q78="Any",TRUE,Availability=Q78)</f>
        <v>1</v>
      </c>
      <c r="S78" s="13" t="s">
        <v>179</v>
      </c>
      <c r="T78" s="13" t="b">
        <f t="shared" ref="T78:T79" si="166">AND(B78,D78,F78,H78,J78,L78,N78,P78,R78)</f>
        <v>0</v>
      </c>
      <c r="U78" s="13" t="str">
        <f t="shared" ref="U78:U79" si="167">CONCATENATE(S78,":",T78)</f>
        <v>Data restoration testing:FALSE</v>
      </c>
    </row>
    <row r="79" spans="1:21" ht="16.2" thickBot="1">
      <c r="A79" s="12" t="s">
        <v>582</v>
      </c>
      <c r="B79" s="13" t="b">
        <f t="shared" si="158"/>
        <v>0</v>
      </c>
      <c r="C79" s="13" t="s">
        <v>578</v>
      </c>
      <c r="D79" s="13" t="b" cm="1">
        <f t="array" ref="D79">IF(C79="Any",TRUE,ClientType=C79)</f>
        <v>1</v>
      </c>
      <c r="E79" s="13" t="s">
        <v>578</v>
      </c>
      <c r="F79" s="13" t="b">
        <f t="shared" si="159"/>
        <v>1</v>
      </c>
      <c r="G79" s="13" t="s">
        <v>578</v>
      </c>
      <c r="H79" s="13" t="b">
        <f t="shared" si="160"/>
        <v>1</v>
      </c>
      <c r="I79" s="13" t="s">
        <v>578</v>
      </c>
      <c r="J79" s="13" t="b">
        <f t="shared" si="161"/>
        <v>1</v>
      </c>
      <c r="K79" s="13" t="s">
        <v>578</v>
      </c>
      <c r="L79" s="13" t="b">
        <f t="shared" si="162"/>
        <v>1</v>
      </c>
      <c r="M79" s="13" t="s">
        <v>578</v>
      </c>
      <c r="N79" s="13" t="b">
        <f t="shared" si="163"/>
        <v>1</v>
      </c>
      <c r="O79" s="13" t="s">
        <v>578</v>
      </c>
      <c r="P79" s="13" t="b">
        <f t="shared" si="164"/>
        <v>1</v>
      </c>
      <c r="Q79" s="13" t="s">
        <v>397</v>
      </c>
      <c r="R79" s="13" t="b">
        <f t="shared" si="165"/>
        <v>0</v>
      </c>
      <c r="S79" s="13" t="s">
        <v>168</v>
      </c>
      <c r="T79" s="13" t="b">
        <f t="shared" si="166"/>
        <v>0</v>
      </c>
      <c r="U79" s="13" t="str">
        <f t="shared" si="167"/>
        <v>Resilient operations:FALSE</v>
      </c>
    </row>
    <row r="80" spans="1:21" ht="16.2" thickBot="1">
      <c r="A80" s="12" t="s">
        <v>582</v>
      </c>
      <c r="B80" s="13" t="b">
        <f t="shared" ref="B80" si="168">IF(A80="Any",TRUE,Management=A80)</f>
        <v>0</v>
      </c>
      <c r="C80" s="13" t="s">
        <v>578</v>
      </c>
      <c r="D80" s="13" t="b" cm="1">
        <f t="array" ref="D80">IF(C80="Any",TRUE,ClientType=C80)</f>
        <v>1</v>
      </c>
      <c r="E80" s="13" t="s">
        <v>578</v>
      </c>
      <c r="F80" s="13" t="b">
        <f t="shared" ref="F80" si="169">IF(E80="Any",TRUE,HasIntegrations=E80)</f>
        <v>1</v>
      </c>
      <c r="G80" s="13" t="s">
        <v>578</v>
      </c>
      <c r="H80" s="13" t="b">
        <f t="shared" ref="H80" si="170">IF(G80="Any",TRUE,Software=G80)</f>
        <v>1</v>
      </c>
      <c r="I80" s="13" t="s">
        <v>578</v>
      </c>
      <c r="J80" s="13" t="b">
        <f t="shared" ref="J80" si="171">IF(I80="Any",TRUE,Software=I80)</f>
        <v>1</v>
      </c>
      <c r="K80" s="13" t="s">
        <v>578</v>
      </c>
      <c r="L80" s="13" t="b">
        <f t="shared" ref="L80" si="172">IF(K80="Any",TRUE,ApplicationTier=K80)</f>
        <v>1</v>
      </c>
      <c r="M80" s="13" t="s">
        <v>578</v>
      </c>
      <c r="N80" s="13" t="b">
        <f t="shared" ref="N80" si="173">IF(M80="Any",TRUE,Confidentiality=M80)</f>
        <v>1</v>
      </c>
      <c r="O80" s="13" t="s">
        <v>578</v>
      </c>
      <c r="P80" s="13" t="b">
        <f t="shared" ref="P80" si="174">IF(O80="Any",TRUE,Integrity=O80)</f>
        <v>1</v>
      </c>
      <c r="Q80" s="13" t="s">
        <v>391</v>
      </c>
      <c r="R80" s="13" t="b">
        <f t="shared" ref="R80" si="175">IF(Q80="Any",TRUE,Availability=Q80)</f>
        <v>0</v>
      </c>
      <c r="S80" s="13" t="s">
        <v>168</v>
      </c>
      <c r="T80" s="13" t="b">
        <f t="shared" ref="T80" si="176">AND(B80,D80,F80,H80,J80,L80,N80,P80,R80)</f>
        <v>0</v>
      </c>
      <c r="U80" s="13" t="str">
        <f t="shared" ref="U80" si="177">CONCATENATE(S80,":",T80)</f>
        <v>Resilient operations:FALSE</v>
      </c>
    </row>
    <row r="81" spans="1:21" ht="16.2" thickBot="1">
      <c r="A81" s="12" t="s">
        <v>582</v>
      </c>
      <c r="B81" s="13" t="b">
        <f t="shared" si="90"/>
        <v>0</v>
      </c>
      <c r="C81" s="13" t="s">
        <v>578</v>
      </c>
      <c r="D81" s="13" t="b" cm="1">
        <f t="array" ref="D81">IF(C81="Any",TRUE,ClientType=C81)</f>
        <v>1</v>
      </c>
      <c r="E81" s="13" t="s">
        <v>578</v>
      </c>
      <c r="F81" s="13" t="b">
        <f t="shared" si="156"/>
        <v>1</v>
      </c>
      <c r="G81" s="13" t="s">
        <v>578</v>
      </c>
      <c r="H81" s="13" t="b">
        <f t="shared" si="91"/>
        <v>1</v>
      </c>
      <c r="I81" s="13" t="s">
        <v>578</v>
      </c>
      <c r="J81" s="13" t="b">
        <f t="shared" si="82"/>
        <v>1</v>
      </c>
      <c r="K81" s="13" t="s">
        <v>578</v>
      </c>
      <c r="L81" s="13" t="b">
        <f t="shared" si="154"/>
        <v>1</v>
      </c>
      <c r="M81" s="13" t="s">
        <v>578</v>
      </c>
      <c r="N81" s="13" t="b">
        <f t="shared" si="92"/>
        <v>1</v>
      </c>
      <c r="O81" s="13" t="s">
        <v>578</v>
      </c>
      <c r="P81" s="13" t="b">
        <f t="shared" si="93"/>
        <v>1</v>
      </c>
      <c r="Q81" s="13" t="s">
        <v>397</v>
      </c>
      <c r="R81" s="13" t="b">
        <f t="shared" si="155"/>
        <v>0</v>
      </c>
      <c r="S81" s="13" t="s">
        <v>126</v>
      </c>
      <c r="T81" s="13" t="b">
        <f t="shared" si="157"/>
        <v>0</v>
      </c>
      <c r="U81" s="13" t="str">
        <f t="shared" si="8"/>
        <v>Diverse hosting:FALSE</v>
      </c>
    </row>
    <row r="82" spans="1:21" ht="16.2" thickBot="1">
      <c r="A82" s="12" t="s">
        <v>582</v>
      </c>
      <c r="B82" s="13" t="b">
        <f t="shared" si="90"/>
        <v>0</v>
      </c>
      <c r="C82" s="13" t="s">
        <v>578</v>
      </c>
      <c r="D82" s="13" t="b" cm="1">
        <f t="array" ref="D82">IF(C82="Any",TRUE,ClientType=C82)</f>
        <v>1</v>
      </c>
      <c r="E82" s="13" t="s">
        <v>578</v>
      </c>
      <c r="F82" s="13" t="b">
        <f t="shared" si="156"/>
        <v>1</v>
      </c>
      <c r="G82" s="13" t="s">
        <v>578</v>
      </c>
      <c r="H82" s="13" t="b">
        <f t="shared" si="91"/>
        <v>1</v>
      </c>
      <c r="I82" s="13" t="s">
        <v>578</v>
      </c>
      <c r="J82" s="13" t="b">
        <f t="shared" si="82"/>
        <v>1</v>
      </c>
      <c r="K82" s="13" t="s">
        <v>578</v>
      </c>
      <c r="L82" s="13" t="b">
        <f t="shared" si="154"/>
        <v>1</v>
      </c>
      <c r="M82" s="13" t="s">
        <v>578</v>
      </c>
      <c r="N82" s="13" t="b">
        <f t="shared" si="92"/>
        <v>1</v>
      </c>
      <c r="O82" s="13" t="s">
        <v>578</v>
      </c>
      <c r="P82" s="13" t="b">
        <f t="shared" si="93"/>
        <v>1</v>
      </c>
      <c r="Q82" s="13" t="s">
        <v>391</v>
      </c>
      <c r="R82" s="13" t="b">
        <f t="shared" si="155"/>
        <v>0</v>
      </c>
      <c r="S82" s="13" t="s">
        <v>126</v>
      </c>
      <c r="T82" s="13" t="b">
        <f t="shared" si="157"/>
        <v>0</v>
      </c>
      <c r="U82" s="13" t="str">
        <f t="shared" si="8"/>
        <v>Diverse hosting:FALSE</v>
      </c>
    </row>
    <row r="83" spans="1:21" ht="16.2" thickBot="1">
      <c r="A83" s="12" t="s">
        <v>582</v>
      </c>
      <c r="B83" s="13" t="b">
        <f t="shared" ref="B83" si="178">IF(A83="Any",TRUE,Management=A83)</f>
        <v>0</v>
      </c>
      <c r="C83" s="13" t="s">
        <v>578</v>
      </c>
      <c r="D83" s="13" t="b" cm="1">
        <f t="array" ref="D83">IF(C83="Any",TRUE,ClientType=C83)</f>
        <v>1</v>
      </c>
      <c r="E83" s="13" t="s">
        <v>578</v>
      </c>
      <c r="F83" s="13" t="b">
        <f t="shared" si="156"/>
        <v>1</v>
      </c>
      <c r="G83" s="13" t="s">
        <v>578</v>
      </c>
      <c r="H83" s="13" t="b">
        <f t="shared" ref="H83" si="179">IF(G83="Any",TRUE,Software=G83)</f>
        <v>1</v>
      </c>
      <c r="I83" s="13" t="s">
        <v>578</v>
      </c>
      <c r="J83" s="13" t="b">
        <f t="shared" ref="J83" si="180">IF(I83="Any",TRUE,Software=I83)</f>
        <v>1</v>
      </c>
      <c r="K83" s="13" t="s">
        <v>578</v>
      </c>
      <c r="L83" s="13" t="b">
        <f t="shared" si="154"/>
        <v>1</v>
      </c>
      <c r="M83" s="13" t="s">
        <v>578</v>
      </c>
      <c r="N83" s="13" t="b">
        <f t="shared" ref="N83" si="181">IF(M83="Any",TRUE,Confidentiality=M83)</f>
        <v>1</v>
      </c>
      <c r="O83" s="13" t="s">
        <v>578</v>
      </c>
      <c r="P83" s="13" t="b">
        <f t="shared" ref="P83" si="182">IF(O83="Any",TRUE,Integrity=O83)</f>
        <v>1</v>
      </c>
      <c r="Q83" s="13" t="s">
        <v>387</v>
      </c>
      <c r="R83" s="13" t="b">
        <f t="shared" si="155"/>
        <v>1</v>
      </c>
      <c r="S83" s="13" t="s">
        <v>126</v>
      </c>
      <c r="T83" s="13" t="b">
        <f t="shared" si="157"/>
        <v>0</v>
      </c>
      <c r="U83" s="13" t="str">
        <f t="shared" ref="U83" si="183">CONCATENATE(S83,":",T83)</f>
        <v>Diverse hosting:FALSE</v>
      </c>
    </row>
    <row r="84" spans="1:21" ht="16.2" thickBot="1">
      <c r="A84" s="12" t="s">
        <v>582</v>
      </c>
      <c r="B84" s="13" t="b">
        <f t="shared" si="90"/>
        <v>0</v>
      </c>
      <c r="C84" s="13" t="s">
        <v>578</v>
      </c>
      <c r="D84" s="13" t="b" cm="1">
        <f t="array" ref="D84">IF(C84="Any",TRUE,ClientType=C84)</f>
        <v>1</v>
      </c>
      <c r="E84" s="13" t="s">
        <v>578</v>
      </c>
      <c r="F84" s="13" t="b">
        <f t="shared" si="156"/>
        <v>1</v>
      </c>
      <c r="G84" s="13" t="s">
        <v>578</v>
      </c>
      <c r="H84" s="13" t="b">
        <f t="shared" si="91"/>
        <v>1</v>
      </c>
      <c r="I84" s="13" t="s">
        <v>578</v>
      </c>
      <c r="J84" s="13" t="b">
        <f t="shared" si="82"/>
        <v>1</v>
      </c>
      <c r="K84" s="13" t="s">
        <v>578</v>
      </c>
      <c r="L84" s="13" t="b">
        <f t="shared" si="154"/>
        <v>1</v>
      </c>
      <c r="M84" s="13" t="s">
        <v>578</v>
      </c>
      <c r="N84" s="13" t="b">
        <f t="shared" si="92"/>
        <v>1</v>
      </c>
      <c r="O84" s="13" t="s">
        <v>578</v>
      </c>
      <c r="P84" s="13" t="b">
        <f t="shared" si="93"/>
        <v>1</v>
      </c>
      <c r="Q84" s="13" t="s">
        <v>397</v>
      </c>
      <c r="R84" s="13" t="b">
        <f t="shared" si="155"/>
        <v>0</v>
      </c>
      <c r="S84" s="13" t="s">
        <v>156</v>
      </c>
      <c r="T84" s="13" t="b">
        <f t="shared" si="157"/>
        <v>0</v>
      </c>
      <c r="U84" s="13" t="str">
        <f t="shared" si="8"/>
        <v>Recovery procedure:FALSE</v>
      </c>
    </row>
    <row r="85" spans="1:21" ht="16.2" thickBot="1">
      <c r="A85" s="12" t="s">
        <v>582</v>
      </c>
      <c r="B85" s="13" t="b">
        <f t="shared" si="90"/>
        <v>0</v>
      </c>
      <c r="C85" s="13" t="s">
        <v>578</v>
      </c>
      <c r="D85" s="13" t="b" cm="1">
        <f t="array" ref="D85">IF(C85="Any",TRUE,ClientType=C85)</f>
        <v>1</v>
      </c>
      <c r="E85" s="13" t="s">
        <v>578</v>
      </c>
      <c r="F85" s="13" t="b">
        <f t="shared" si="156"/>
        <v>1</v>
      </c>
      <c r="G85" s="13" t="s">
        <v>578</v>
      </c>
      <c r="H85" s="13" t="b">
        <f t="shared" si="91"/>
        <v>1</v>
      </c>
      <c r="I85" s="13" t="s">
        <v>578</v>
      </c>
      <c r="J85" s="13" t="b">
        <f t="shared" si="82"/>
        <v>1</v>
      </c>
      <c r="K85" s="13" t="s">
        <v>578</v>
      </c>
      <c r="L85" s="13" t="b">
        <f t="shared" si="154"/>
        <v>1</v>
      </c>
      <c r="M85" s="13" t="s">
        <v>578</v>
      </c>
      <c r="N85" s="13" t="b">
        <f t="shared" si="92"/>
        <v>1</v>
      </c>
      <c r="O85" s="13" t="s">
        <v>578</v>
      </c>
      <c r="P85" s="13" t="b">
        <f t="shared" si="93"/>
        <v>1</v>
      </c>
      <c r="Q85" s="13" t="s">
        <v>397</v>
      </c>
      <c r="R85" s="13" t="b">
        <f t="shared" si="155"/>
        <v>0</v>
      </c>
      <c r="S85" s="13" t="s">
        <v>159</v>
      </c>
      <c r="T85" s="13" t="b">
        <f t="shared" si="157"/>
        <v>0</v>
      </c>
      <c r="U85" s="13" t="str">
        <f t="shared" si="8"/>
        <v>Recovery procedure review:FALSE</v>
      </c>
    </row>
    <row r="86" spans="1:21" ht="16.2" thickBot="1">
      <c r="A86" s="12" t="s">
        <v>582</v>
      </c>
      <c r="B86" s="13" t="b">
        <f t="shared" ref="B86:B109" si="184">IF(A86="Any",TRUE,Management=A86)</f>
        <v>0</v>
      </c>
      <c r="C86" s="13" t="s">
        <v>578</v>
      </c>
      <c r="D86" s="13" t="b" cm="1">
        <f t="array" ref="D86">IF(C86="Any",TRUE,ClientType=C86)</f>
        <v>1</v>
      </c>
      <c r="E86" s="13" t="s">
        <v>578</v>
      </c>
      <c r="F86" s="13" t="b">
        <f t="shared" si="156"/>
        <v>1</v>
      </c>
      <c r="G86" s="13" t="s">
        <v>578</v>
      </c>
      <c r="H86" s="13" t="b">
        <f t="shared" ref="H86:H109" si="185">IF(G86="Any",TRUE,Software=G86)</f>
        <v>1</v>
      </c>
      <c r="I86" s="13" t="s">
        <v>578</v>
      </c>
      <c r="J86" s="13" t="b">
        <f t="shared" si="82"/>
        <v>1</v>
      </c>
      <c r="K86" s="13" t="s">
        <v>578</v>
      </c>
      <c r="L86" s="13" t="b">
        <f t="shared" si="154"/>
        <v>1</v>
      </c>
      <c r="M86" s="13" t="s">
        <v>578</v>
      </c>
      <c r="N86" s="13" t="b">
        <f t="shared" ref="N86:N109" si="186">IF(M86="Any",TRUE,Confidentiality=M86)</f>
        <v>1</v>
      </c>
      <c r="O86" s="13" t="s">
        <v>578</v>
      </c>
      <c r="P86" s="13" t="b">
        <f t="shared" ref="P86:P109" si="187">IF(O86="Any",TRUE,Integrity=O86)</f>
        <v>1</v>
      </c>
      <c r="Q86" s="13" t="s">
        <v>397</v>
      </c>
      <c r="R86" s="13" t="b">
        <f t="shared" si="155"/>
        <v>0</v>
      </c>
      <c r="S86" s="13" t="s">
        <v>162</v>
      </c>
      <c r="T86" s="13" t="b">
        <f t="shared" si="157"/>
        <v>0</v>
      </c>
      <c r="U86" s="13" t="str">
        <f t="shared" si="8"/>
        <v>Recovery procedure testing:FALSE</v>
      </c>
    </row>
    <row r="87" spans="1:21" ht="16.2" thickBot="1">
      <c r="A87" s="12" t="s">
        <v>582</v>
      </c>
      <c r="B87" s="13" t="b">
        <f t="shared" si="184"/>
        <v>0</v>
      </c>
      <c r="C87" s="13" t="s">
        <v>578</v>
      </c>
      <c r="D87" s="13" t="b" cm="1">
        <f t="array" ref="D87">IF(C87="Any",TRUE,ClientType=C87)</f>
        <v>1</v>
      </c>
      <c r="E87" s="13" t="s">
        <v>578</v>
      </c>
      <c r="F87" s="13" t="b">
        <f t="shared" si="156"/>
        <v>1</v>
      </c>
      <c r="G87" s="13" t="s">
        <v>578</v>
      </c>
      <c r="H87" s="13" t="b">
        <f t="shared" si="185"/>
        <v>1</v>
      </c>
      <c r="I87" s="13" t="s">
        <v>578</v>
      </c>
      <c r="J87" s="13" t="b">
        <f t="shared" ref="J87:J89" si="188">IF(I87="Any",TRUE,Software=I87)</f>
        <v>1</v>
      </c>
      <c r="K87" s="13" t="s">
        <v>578</v>
      </c>
      <c r="L87" s="13" t="b">
        <f t="shared" si="154"/>
        <v>1</v>
      </c>
      <c r="M87" s="13" t="s">
        <v>578</v>
      </c>
      <c r="N87" s="13" t="b">
        <f t="shared" si="186"/>
        <v>1</v>
      </c>
      <c r="O87" s="13" t="s">
        <v>578</v>
      </c>
      <c r="P87" s="13" t="b">
        <f t="shared" si="187"/>
        <v>1</v>
      </c>
      <c r="Q87" s="13" t="s">
        <v>391</v>
      </c>
      <c r="R87" s="13" t="b">
        <f t="shared" si="155"/>
        <v>0</v>
      </c>
      <c r="S87" s="13" t="s">
        <v>156</v>
      </c>
      <c r="T87" s="13" t="b">
        <f t="shared" si="157"/>
        <v>0</v>
      </c>
      <c r="U87" s="13" t="str">
        <f t="shared" ref="U87:U89" si="189">CONCATENATE(S87,":",T87)</f>
        <v>Recovery procedure:FALSE</v>
      </c>
    </row>
    <row r="88" spans="1:21" ht="16.2" thickBot="1">
      <c r="A88" s="12" t="s">
        <v>582</v>
      </c>
      <c r="B88" s="13" t="b">
        <f t="shared" si="184"/>
        <v>0</v>
      </c>
      <c r="C88" s="13" t="s">
        <v>578</v>
      </c>
      <c r="D88" s="13" t="b" cm="1">
        <f t="array" ref="D88">IF(C88="Any",TRUE,ClientType=C88)</f>
        <v>1</v>
      </c>
      <c r="E88" s="13" t="s">
        <v>578</v>
      </c>
      <c r="F88" s="13" t="b">
        <f t="shared" si="156"/>
        <v>1</v>
      </c>
      <c r="G88" s="13" t="s">
        <v>578</v>
      </c>
      <c r="H88" s="13" t="b">
        <f t="shared" si="185"/>
        <v>1</v>
      </c>
      <c r="I88" s="13" t="s">
        <v>578</v>
      </c>
      <c r="J88" s="13" t="b">
        <f t="shared" si="188"/>
        <v>1</v>
      </c>
      <c r="K88" s="13" t="s">
        <v>578</v>
      </c>
      <c r="L88" s="13" t="b">
        <f t="shared" si="154"/>
        <v>1</v>
      </c>
      <c r="M88" s="13" t="s">
        <v>578</v>
      </c>
      <c r="N88" s="13" t="b">
        <f t="shared" si="186"/>
        <v>1</v>
      </c>
      <c r="O88" s="13" t="s">
        <v>578</v>
      </c>
      <c r="P88" s="13" t="b">
        <f t="shared" si="187"/>
        <v>1</v>
      </c>
      <c r="Q88" s="13" t="s">
        <v>391</v>
      </c>
      <c r="R88" s="13" t="b">
        <f t="shared" si="155"/>
        <v>0</v>
      </c>
      <c r="S88" s="13" t="s">
        <v>159</v>
      </c>
      <c r="T88" s="13" t="b">
        <f t="shared" si="157"/>
        <v>0</v>
      </c>
      <c r="U88" s="13" t="str">
        <f t="shared" si="189"/>
        <v>Recovery procedure review:FALSE</v>
      </c>
    </row>
    <row r="89" spans="1:21" ht="16.2" thickBot="1">
      <c r="A89" s="12" t="s">
        <v>582</v>
      </c>
      <c r="B89" s="13" t="b">
        <f t="shared" ref="B89" si="190">IF(A89="Any",TRUE,Management=A89)</f>
        <v>0</v>
      </c>
      <c r="C89" s="13" t="s">
        <v>578</v>
      </c>
      <c r="D89" s="13" t="b" cm="1">
        <f t="array" ref="D89">IF(C89="Any",TRUE,ClientType=C89)</f>
        <v>1</v>
      </c>
      <c r="E89" s="13" t="s">
        <v>578</v>
      </c>
      <c r="F89" s="13" t="b">
        <f t="shared" si="156"/>
        <v>1</v>
      </c>
      <c r="G89" s="13" t="s">
        <v>578</v>
      </c>
      <c r="H89" s="13" t="b">
        <f t="shared" ref="H89" si="191">IF(G89="Any",TRUE,Software=G89)</f>
        <v>1</v>
      </c>
      <c r="I89" s="13" t="s">
        <v>578</v>
      </c>
      <c r="J89" s="13" t="b">
        <f t="shared" si="188"/>
        <v>1</v>
      </c>
      <c r="K89" s="13" t="s">
        <v>578</v>
      </c>
      <c r="L89" s="13" t="b">
        <f t="shared" si="154"/>
        <v>1</v>
      </c>
      <c r="M89" s="13" t="s">
        <v>578</v>
      </c>
      <c r="N89" s="13" t="b">
        <f t="shared" ref="N89" si="192">IF(M89="Any",TRUE,Confidentiality=M89)</f>
        <v>1</v>
      </c>
      <c r="O89" s="13" t="s">
        <v>578</v>
      </c>
      <c r="P89" s="13" t="b">
        <f t="shared" ref="P89" si="193">IF(O89="Any",TRUE,Integrity=O89)</f>
        <v>1</v>
      </c>
      <c r="Q89" s="13" t="s">
        <v>391</v>
      </c>
      <c r="R89" s="13" t="b">
        <f t="shared" si="155"/>
        <v>0</v>
      </c>
      <c r="S89" s="13" t="s">
        <v>162</v>
      </c>
      <c r="T89" s="13" t="b">
        <f t="shared" si="157"/>
        <v>0</v>
      </c>
      <c r="U89" s="13" t="str">
        <f t="shared" si="189"/>
        <v>Recovery procedure testing:FALSE</v>
      </c>
    </row>
    <row r="90" spans="1:21" ht="16.2" thickBot="1">
      <c r="A90" s="12" t="s">
        <v>582</v>
      </c>
      <c r="B90" s="13" t="b">
        <f t="shared" ref="B90" si="194">IF(A90="Any",TRUE,Management=A90)</f>
        <v>0</v>
      </c>
      <c r="C90" s="13" t="s">
        <v>578</v>
      </c>
      <c r="D90" s="13" t="b" cm="1">
        <f t="array" ref="D90">IF(C90="Any",TRUE,ClientType=C90)</f>
        <v>1</v>
      </c>
      <c r="E90" s="13" t="s">
        <v>578</v>
      </c>
      <c r="F90" s="13" t="b">
        <f t="shared" ref="F90" si="195">IF(E90="Any",TRUE,HasIntegrations=E90)</f>
        <v>1</v>
      </c>
      <c r="G90" s="13" t="s">
        <v>578</v>
      </c>
      <c r="H90" s="13" t="b">
        <f t="shared" ref="H90" si="196">IF(G90="Any",TRUE,Software=G90)</f>
        <v>1</v>
      </c>
      <c r="I90" s="13" t="s">
        <v>578</v>
      </c>
      <c r="J90" s="13" t="b">
        <f t="shared" ref="J90" si="197">IF(I90="Any",TRUE,Software=I90)</f>
        <v>1</v>
      </c>
      <c r="K90" s="13" t="s">
        <v>578</v>
      </c>
      <c r="L90" s="13" t="b">
        <f t="shared" ref="L90" si="198">IF(K90="Any",TRUE,ApplicationTier=K90)</f>
        <v>1</v>
      </c>
      <c r="M90" s="13" t="s">
        <v>578</v>
      </c>
      <c r="N90" s="13" t="b">
        <f t="shared" ref="N90" si="199">IF(M90="Any",TRUE,Confidentiality=M90)</f>
        <v>1</v>
      </c>
      <c r="O90" s="13" t="s">
        <v>578</v>
      </c>
      <c r="P90" s="13" t="b">
        <f t="shared" ref="P90" si="200">IF(O90="Any",TRUE,Integrity=O90)</f>
        <v>1</v>
      </c>
      <c r="Q90" s="13" t="s">
        <v>578</v>
      </c>
      <c r="R90" s="13" t="b">
        <f t="shared" ref="R90" si="201">IF(Q90="Any",TRUE,Availability=Q90)</f>
        <v>1</v>
      </c>
      <c r="S90" s="13" t="s">
        <v>165</v>
      </c>
      <c r="T90" s="13" t="b">
        <f t="shared" ref="T90" si="202">AND(B90,D90,F90,H90,J90,L90,N90,P90,R90)</f>
        <v>0</v>
      </c>
      <c r="U90" s="13" t="str">
        <f t="shared" ref="U90" si="203">CONCATENATE(S90,":",T90)</f>
        <v>Remote operation:FALSE</v>
      </c>
    </row>
    <row r="91" spans="1:21" ht="16.2" thickBot="1">
      <c r="A91" s="12" t="s">
        <v>582</v>
      </c>
      <c r="B91" s="13" t="b">
        <f t="shared" ref="B91" si="204">IF(A91="Any",TRUE,Management=A91)</f>
        <v>0</v>
      </c>
      <c r="C91" s="13" t="s">
        <v>578</v>
      </c>
      <c r="D91" s="13" t="b" cm="1">
        <f t="array" ref="D91">IF(C91="Any",TRUE,ClientType=C91)</f>
        <v>1</v>
      </c>
      <c r="E91" s="13" t="s">
        <v>578</v>
      </c>
      <c r="F91" s="13" t="b">
        <f t="shared" ref="F91" si="205">IF(E91="Any",TRUE,HasIntegrations=E91)</f>
        <v>1</v>
      </c>
      <c r="G91" s="13" t="s">
        <v>578</v>
      </c>
      <c r="H91" s="13" t="b">
        <f t="shared" ref="H91" si="206">IF(G91="Any",TRUE,Software=G91)</f>
        <v>1</v>
      </c>
      <c r="I91" s="13" t="s">
        <v>578</v>
      </c>
      <c r="J91" s="13" t="b">
        <f t="shared" ref="J91" si="207">IF(I91="Any",TRUE,Software=I91)</f>
        <v>1</v>
      </c>
      <c r="K91" s="13" t="s">
        <v>578</v>
      </c>
      <c r="L91" s="13" t="b">
        <f t="shared" ref="L91" si="208">IF(K91="Any",TRUE,ApplicationTier=K91)</f>
        <v>1</v>
      </c>
      <c r="M91" s="13" t="s">
        <v>578</v>
      </c>
      <c r="N91" s="13" t="b">
        <f t="shared" ref="N91" si="209">IF(M91="Any",TRUE,Confidentiality=M91)</f>
        <v>1</v>
      </c>
      <c r="O91" s="13" t="s">
        <v>578</v>
      </c>
      <c r="P91" s="13" t="b">
        <f t="shared" ref="P91" si="210">IF(O91="Any",TRUE,Integrity=O91)</f>
        <v>1</v>
      </c>
      <c r="Q91" s="13" t="s">
        <v>578</v>
      </c>
      <c r="R91" s="13" t="b">
        <f t="shared" ref="R91" si="211">IF(Q91="Any",TRUE,Availability=Q91)</f>
        <v>1</v>
      </c>
      <c r="S91" s="13" t="s">
        <v>153</v>
      </c>
      <c r="T91" s="13" t="b">
        <f t="shared" ref="T91" si="212">AND(B91,D91,F91,H91,J91,L91,N91,P91,R91)</f>
        <v>0</v>
      </c>
      <c r="U91" s="13" t="str">
        <f t="shared" ref="U91" si="213">CONCATENATE(S91,":",T91)</f>
        <v>Out-of-hours support:FALSE</v>
      </c>
    </row>
    <row r="92" spans="1:21" ht="16.2" thickBot="1">
      <c r="A92" s="12" t="s">
        <v>582</v>
      </c>
      <c r="B92" s="13" t="b">
        <f t="shared" ref="B92" si="214">IF(A92="Any",TRUE,Management=A92)</f>
        <v>0</v>
      </c>
      <c r="C92" s="13" t="s">
        <v>578</v>
      </c>
      <c r="D92" s="13" t="b" cm="1">
        <f t="array" ref="D92">IF(C92="Any",TRUE,ClientType=C92)</f>
        <v>1</v>
      </c>
      <c r="E92" s="13" t="s">
        <v>578</v>
      </c>
      <c r="F92" s="13" t="b">
        <f t="shared" ref="F92" si="215">IF(E92="Any",TRUE,HasIntegrations=E92)</f>
        <v>1</v>
      </c>
      <c r="G92" s="13" t="s">
        <v>578</v>
      </c>
      <c r="H92" s="13" t="b">
        <f t="shared" ref="H92" si="216">IF(G92="Any",TRUE,Software=G92)</f>
        <v>1</v>
      </c>
      <c r="I92" s="13" t="s">
        <v>578</v>
      </c>
      <c r="J92" s="13" t="b">
        <f t="shared" ref="J92" si="217">IF(I92="Any",TRUE,Software=I92)</f>
        <v>1</v>
      </c>
      <c r="K92" s="13" t="s">
        <v>578</v>
      </c>
      <c r="L92" s="13" t="b">
        <f t="shared" ref="L92" si="218">IF(K92="Any",TRUE,ApplicationTier=K92)</f>
        <v>1</v>
      </c>
      <c r="M92" s="13" t="s">
        <v>578</v>
      </c>
      <c r="N92" s="13" t="b">
        <f t="shared" ref="N92" si="219">IF(M92="Any",TRUE,Confidentiality=M92)</f>
        <v>1</v>
      </c>
      <c r="O92" s="13" t="s">
        <v>578</v>
      </c>
      <c r="P92" s="13" t="b">
        <f t="shared" ref="P92" si="220">IF(O92="Any",TRUE,Integrity=O92)</f>
        <v>1</v>
      </c>
      <c r="Q92" s="13" t="s">
        <v>397</v>
      </c>
      <c r="R92" s="13" t="b">
        <f t="shared" ref="R92" si="221">IF(Q92="Any",TRUE,Availability=Q92)</f>
        <v>0</v>
      </c>
      <c r="S92" s="13" t="s">
        <v>147</v>
      </c>
      <c r="T92" s="13" t="b">
        <f t="shared" ref="T92" si="222">AND(B92,D92,F92,H92,J92,L92,N92,P92,R92)</f>
        <v>0</v>
      </c>
      <c r="U92" s="13" t="str">
        <f t="shared" ref="U92" si="223">CONCATENATE(S92,":",T92)</f>
        <v>Load testing:FALSE</v>
      </c>
    </row>
    <row r="93" spans="1:21" ht="16.2" thickBot="1">
      <c r="A93" s="12" t="s">
        <v>582</v>
      </c>
      <c r="B93" s="13" t="b">
        <f t="shared" ref="B93" si="224">IF(A93="Any",TRUE,Management=A93)</f>
        <v>0</v>
      </c>
      <c r="C93" s="13" t="s">
        <v>578</v>
      </c>
      <c r="D93" s="13" t="b" cm="1">
        <f t="array" ref="D93">IF(C93="Any",TRUE,ClientType=C93)</f>
        <v>1</v>
      </c>
      <c r="E93" s="13" t="s">
        <v>578</v>
      </c>
      <c r="F93" s="13" t="b">
        <f t="shared" ref="F93" si="225">IF(E93="Any",TRUE,HasIntegrations=E93)</f>
        <v>1</v>
      </c>
      <c r="G93" s="13" t="s">
        <v>578</v>
      </c>
      <c r="H93" s="13" t="b">
        <f t="shared" ref="H93" si="226">IF(G93="Any",TRUE,Software=G93)</f>
        <v>1</v>
      </c>
      <c r="I93" s="13" t="s">
        <v>578</v>
      </c>
      <c r="J93" s="13" t="b">
        <f t="shared" ref="J93" si="227">IF(I93="Any",TRUE,Software=I93)</f>
        <v>1</v>
      </c>
      <c r="K93" s="13" t="s">
        <v>578</v>
      </c>
      <c r="L93" s="13" t="b">
        <f t="shared" ref="L93" si="228">IF(K93="Any",TRUE,ApplicationTier=K93)</f>
        <v>1</v>
      </c>
      <c r="M93" s="13" t="s">
        <v>578</v>
      </c>
      <c r="N93" s="13" t="b">
        <f t="shared" ref="N93" si="229">IF(M93="Any",TRUE,Confidentiality=M93)</f>
        <v>1</v>
      </c>
      <c r="O93" s="13" t="s">
        <v>578</v>
      </c>
      <c r="P93" s="13" t="b">
        <f t="shared" ref="P93" si="230">IF(O93="Any",TRUE,Integrity=O93)</f>
        <v>1</v>
      </c>
      <c r="Q93" s="13" t="s">
        <v>391</v>
      </c>
      <c r="R93" s="13" t="b">
        <f t="shared" ref="R93" si="231">IF(Q93="Any",TRUE,Availability=Q93)</f>
        <v>0</v>
      </c>
      <c r="S93" s="13" t="s">
        <v>147</v>
      </c>
      <c r="T93" s="13" t="b">
        <f t="shared" ref="T93" si="232">AND(B93,D93,F93,H93,J93,L93,N93,P93,R93)</f>
        <v>0</v>
      </c>
      <c r="U93" s="13" t="str">
        <f t="shared" ref="U93" si="233">CONCATENATE(S93,":",T93)</f>
        <v>Load testing:FALSE</v>
      </c>
    </row>
    <row r="94" spans="1:21" ht="16.2" thickBot="1">
      <c r="A94" s="12" t="s">
        <v>593</v>
      </c>
      <c r="B94" s="13" t="b">
        <f t="shared" si="184"/>
        <v>0</v>
      </c>
      <c r="C94" s="13" t="s">
        <v>578</v>
      </c>
      <c r="D94" s="13" t="b" cm="1">
        <f t="array" ref="D94">IF(C94="Any",TRUE,ClientType=C94)</f>
        <v>1</v>
      </c>
      <c r="E94" s="13" t="s">
        <v>578</v>
      </c>
      <c r="F94" s="13" t="b">
        <f t="shared" si="156"/>
        <v>1</v>
      </c>
      <c r="G94" s="13" t="s">
        <v>578</v>
      </c>
      <c r="H94" s="13" t="b">
        <f t="shared" si="185"/>
        <v>1</v>
      </c>
      <c r="I94" s="13" t="s">
        <v>578</v>
      </c>
      <c r="J94" s="13" t="b">
        <f t="shared" si="82"/>
        <v>1</v>
      </c>
      <c r="K94" s="13" t="s">
        <v>578</v>
      </c>
      <c r="L94" s="13" t="b">
        <f t="shared" si="154"/>
        <v>1</v>
      </c>
      <c r="M94" s="13" t="s">
        <v>578</v>
      </c>
      <c r="N94" s="13" t="b">
        <f t="shared" si="186"/>
        <v>1</v>
      </c>
      <c r="O94" s="13" t="s">
        <v>578</v>
      </c>
      <c r="P94" s="13" t="b">
        <f t="shared" si="187"/>
        <v>1</v>
      </c>
      <c r="Q94" s="13" t="s">
        <v>578</v>
      </c>
      <c r="R94" s="13" t="b">
        <f t="shared" si="155"/>
        <v>1</v>
      </c>
      <c r="S94" s="13" t="s">
        <v>291</v>
      </c>
      <c r="T94" s="13" t="b">
        <f t="shared" si="157"/>
        <v>0</v>
      </c>
      <c r="U94" s="13" t="str">
        <f t="shared" ref="U94:U109" si="234">CONCATENATE(S94,":",T94)</f>
        <v>Managed application procurement security requirements:FALSE</v>
      </c>
    </row>
    <row r="95" spans="1:21" ht="16.2" thickBot="1">
      <c r="A95" s="12" t="s">
        <v>593</v>
      </c>
      <c r="B95" s="13" t="b">
        <f t="shared" si="184"/>
        <v>0</v>
      </c>
      <c r="C95" s="13" t="s">
        <v>578</v>
      </c>
      <c r="D95" s="13" t="b" cm="1">
        <f t="array" ref="D95">IF(C95="Any",TRUE,ClientType=C95)</f>
        <v>1</v>
      </c>
      <c r="E95" s="13" t="s">
        <v>578</v>
      </c>
      <c r="F95" s="13" t="b">
        <f t="shared" si="156"/>
        <v>1</v>
      </c>
      <c r="G95" s="13" t="s">
        <v>578</v>
      </c>
      <c r="H95" s="13" t="b">
        <f t="shared" si="185"/>
        <v>1</v>
      </c>
      <c r="I95" s="13" t="s">
        <v>578</v>
      </c>
      <c r="J95" s="13" t="b">
        <f t="shared" si="82"/>
        <v>1</v>
      </c>
      <c r="K95" s="13" t="s">
        <v>578</v>
      </c>
      <c r="L95" s="13" t="b">
        <f t="shared" si="154"/>
        <v>1</v>
      </c>
      <c r="M95" s="13" t="s">
        <v>578</v>
      </c>
      <c r="N95" s="13" t="b">
        <f t="shared" si="186"/>
        <v>1</v>
      </c>
      <c r="O95" s="13" t="s">
        <v>578</v>
      </c>
      <c r="P95" s="13" t="b">
        <f t="shared" si="187"/>
        <v>1</v>
      </c>
      <c r="Q95" s="13" t="s">
        <v>578</v>
      </c>
      <c r="R95" s="13" t="b">
        <f t="shared" si="155"/>
        <v>1</v>
      </c>
      <c r="S95" s="13" t="s">
        <v>288</v>
      </c>
      <c r="T95" s="13" t="b">
        <f t="shared" si="157"/>
        <v>0</v>
      </c>
      <c r="U95" s="13" t="str">
        <f t="shared" si="234"/>
        <v>Managed application procurement availability requirements:FALSE</v>
      </c>
    </row>
    <row r="96" spans="1:21" ht="16.2" thickBot="1">
      <c r="A96" s="12" t="s">
        <v>593</v>
      </c>
      <c r="B96" s="13" t="b">
        <f t="shared" ref="B96" si="235">IF(A96="Any",TRUE,Management=A96)</f>
        <v>0</v>
      </c>
      <c r="C96" s="13" t="s">
        <v>578</v>
      </c>
      <c r="D96" s="13" t="b" cm="1">
        <f t="array" ref="D96">IF(C96="Any",TRUE,ClientType=C96)</f>
        <v>1</v>
      </c>
      <c r="E96" s="13" t="s">
        <v>578</v>
      </c>
      <c r="F96" s="13" t="b">
        <f t="shared" si="156"/>
        <v>1</v>
      </c>
      <c r="G96" s="13" t="s">
        <v>578</v>
      </c>
      <c r="H96" s="13" t="b">
        <f t="shared" ref="H96" si="236">IF(G96="Any",TRUE,Software=G96)</f>
        <v>1</v>
      </c>
      <c r="I96" s="13" t="s">
        <v>578</v>
      </c>
      <c r="J96" s="13" t="b">
        <f t="shared" si="82"/>
        <v>1</v>
      </c>
      <c r="K96" s="13" t="s">
        <v>379</v>
      </c>
      <c r="L96" s="13" t="b">
        <f t="shared" si="154"/>
        <v>0</v>
      </c>
      <c r="M96" s="13" t="s">
        <v>578</v>
      </c>
      <c r="N96" s="13" t="b">
        <f t="shared" ref="N96" si="237">IF(M96="Any",TRUE,Confidentiality=M96)</f>
        <v>1</v>
      </c>
      <c r="O96" s="13" t="s">
        <v>578</v>
      </c>
      <c r="P96" s="13" t="b">
        <f t="shared" ref="P96" si="238">IF(O96="Any",TRUE,Integrity=O96)</f>
        <v>1</v>
      </c>
      <c r="Q96" s="13" t="s">
        <v>578</v>
      </c>
      <c r="R96" s="13" t="b">
        <f t="shared" si="155"/>
        <v>1</v>
      </c>
      <c r="S96" s="13" t="s">
        <v>279</v>
      </c>
      <c r="T96" s="13" t="b">
        <f t="shared" si="157"/>
        <v>0</v>
      </c>
      <c r="U96" s="13" t="str">
        <f t="shared" ref="U96" si="239">CONCATENATE(S96,":",T96)</f>
        <v>Basic security assessment (procurement):FALSE</v>
      </c>
    </row>
    <row r="97" spans="1:21" ht="16.2" thickBot="1">
      <c r="A97" s="12" t="s">
        <v>593</v>
      </c>
      <c r="B97" s="13" t="b">
        <f t="shared" si="184"/>
        <v>0</v>
      </c>
      <c r="C97" s="13" t="s">
        <v>578</v>
      </c>
      <c r="D97" s="13" t="b" cm="1">
        <f t="array" ref="D97">IF(C97="Any",TRUE,ClientType=C97)</f>
        <v>1</v>
      </c>
      <c r="E97" s="13" t="s">
        <v>578</v>
      </c>
      <c r="F97" s="13" t="b">
        <f t="shared" si="156"/>
        <v>1</v>
      </c>
      <c r="G97" s="13" t="s">
        <v>578</v>
      </c>
      <c r="H97" s="13" t="b">
        <f t="shared" si="185"/>
        <v>1</v>
      </c>
      <c r="I97" s="13" t="s">
        <v>578</v>
      </c>
      <c r="J97" s="13" t="b">
        <f t="shared" si="82"/>
        <v>1</v>
      </c>
      <c r="K97" s="13" t="s">
        <v>385</v>
      </c>
      <c r="L97" s="13" t="b">
        <f t="shared" si="154"/>
        <v>0</v>
      </c>
      <c r="M97" s="13" t="s">
        <v>578</v>
      </c>
      <c r="N97" s="13" t="b">
        <f t="shared" si="186"/>
        <v>1</v>
      </c>
      <c r="O97" s="13" t="s">
        <v>578</v>
      </c>
      <c r="P97" s="13" t="b">
        <f t="shared" si="187"/>
        <v>1</v>
      </c>
      <c r="Q97" s="13" t="s">
        <v>578</v>
      </c>
      <c r="R97" s="13" t="b">
        <f t="shared" si="155"/>
        <v>1</v>
      </c>
      <c r="S97" s="13" t="s">
        <v>297</v>
      </c>
      <c r="T97" s="13" t="b">
        <f t="shared" si="157"/>
        <v>0</v>
      </c>
      <c r="U97" s="13" t="str">
        <f t="shared" si="234"/>
        <v>Security assessment (procurement):FALSE</v>
      </c>
    </row>
    <row r="98" spans="1:21" ht="16.2" thickBot="1">
      <c r="A98" s="12" t="s">
        <v>593</v>
      </c>
      <c r="B98" s="13" t="b">
        <f t="shared" ref="B98" si="240">IF(A98="Any",TRUE,Management=A98)</f>
        <v>0</v>
      </c>
      <c r="C98" s="13" t="s">
        <v>578</v>
      </c>
      <c r="D98" s="13" t="b" cm="1">
        <f t="array" ref="D98">IF(C98="Any",TRUE,ClientType=C98)</f>
        <v>1</v>
      </c>
      <c r="E98" s="13" t="s">
        <v>578</v>
      </c>
      <c r="F98" s="13" t="b">
        <f t="shared" si="156"/>
        <v>1</v>
      </c>
      <c r="G98" s="13" t="s">
        <v>578</v>
      </c>
      <c r="H98" s="13" t="b">
        <f t="shared" ref="H98" si="241">IF(G98="Any",TRUE,Software=G98)</f>
        <v>1</v>
      </c>
      <c r="I98" s="13" t="s">
        <v>578</v>
      </c>
      <c r="J98" s="13" t="b">
        <f t="shared" si="82"/>
        <v>1</v>
      </c>
      <c r="K98" s="13" t="s">
        <v>389</v>
      </c>
      <c r="L98" s="13" t="b">
        <f t="shared" si="154"/>
        <v>1</v>
      </c>
      <c r="M98" s="13" t="s">
        <v>578</v>
      </c>
      <c r="N98" s="13" t="b">
        <f t="shared" ref="N98" si="242">IF(M98="Any",TRUE,Confidentiality=M98)</f>
        <v>1</v>
      </c>
      <c r="O98" s="13" t="s">
        <v>578</v>
      </c>
      <c r="P98" s="13" t="b">
        <f t="shared" ref="P98" si="243">IF(O98="Any",TRUE,Integrity=O98)</f>
        <v>1</v>
      </c>
      <c r="Q98" s="13" t="s">
        <v>578</v>
      </c>
      <c r="R98" s="13" t="b">
        <f t="shared" si="155"/>
        <v>1</v>
      </c>
      <c r="S98" s="13" t="s">
        <v>297</v>
      </c>
      <c r="T98" s="13" t="b">
        <f t="shared" si="157"/>
        <v>0</v>
      </c>
      <c r="U98" s="13" t="str">
        <f t="shared" ref="U98" si="244">CONCATENATE(S98,":",T98)</f>
        <v>Security assessment (procurement):FALSE</v>
      </c>
    </row>
    <row r="99" spans="1:21" ht="16.2" thickBot="1">
      <c r="A99" s="12" t="s">
        <v>593</v>
      </c>
      <c r="B99" s="13" t="b">
        <f t="shared" ref="B99" si="245">IF(A99="Any",TRUE,Management=A99)</f>
        <v>0</v>
      </c>
      <c r="C99" s="13" t="s">
        <v>578</v>
      </c>
      <c r="D99" s="13" t="b" cm="1">
        <f t="array" ref="D99">IF(C99="Any",TRUE,ClientType=C99)</f>
        <v>1</v>
      </c>
      <c r="E99" s="13" t="s">
        <v>578</v>
      </c>
      <c r="F99" s="13" t="b">
        <f t="shared" ref="F99" si="246">IF(E99="Any",TRUE,HasIntegrations=E99)</f>
        <v>1</v>
      </c>
      <c r="G99" s="13" t="s">
        <v>578</v>
      </c>
      <c r="H99" s="13" t="b">
        <f t="shared" ref="H99" si="247">IF(G99="Any",TRUE,Software=G99)</f>
        <v>1</v>
      </c>
      <c r="I99" s="13" t="s">
        <v>578</v>
      </c>
      <c r="J99" s="13" t="b">
        <f t="shared" ref="J99" si="248">IF(I99="Any",TRUE,Software=I99)</f>
        <v>1</v>
      </c>
      <c r="K99" s="13" t="s">
        <v>395</v>
      </c>
      <c r="L99" s="13" t="b">
        <f t="shared" si="154"/>
        <v>0</v>
      </c>
      <c r="M99" s="13" t="s">
        <v>578</v>
      </c>
      <c r="N99" s="13" t="b">
        <f t="shared" ref="N99" si="249">IF(M99="Any",TRUE,Confidentiality=M99)</f>
        <v>1</v>
      </c>
      <c r="O99" s="13" t="s">
        <v>578</v>
      </c>
      <c r="P99" s="13" t="b">
        <f t="shared" ref="P99" si="250">IF(O99="Any",TRUE,Integrity=O99)</f>
        <v>1</v>
      </c>
      <c r="Q99" s="13" t="s">
        <v>578</v>
      </c>
      <c r="R99" s="13" t="b">
        <f t="shared" si="155"/>
        <v>1</v>
      </c>
      <c r="S99" s="13" t="s">
        <v>297</v>
      </c>
      <c r="T99" s="13" t="b">
        <f t="shared" ref="T99" si="251">AND(B99,D99,F99,H99,J99,L99,N99,P99,R99)</f>
        <v>0</v>
      </c>
      <c r="U99" s="13" t="str">
        <f t="shared" ref="U99" si="252">CONCATENATE(S99,":",T99)</f>
        <v>Security assessment (procurement):FALSE</v>
      </c>
    </row>
    <row r="100" spans="1:21" ht="16.2" thickBot="1">
      <c r="A100" s="12" t="s">
        <v>593</v>
      </c>
      <c r="B100" s="13" t="b">
        <f t="shared" si="184"/>
        <v>0</v>
      </c>
      <c r="C100" s="13" t="s">
        <v>578</v>
      </c>
      <c r="D100" s="13" t="b" cm="1">
        <f t="array" ref="D100">IF(C100="Any",TRUE,ClientType=C100)</f>
        <v>1</v>
      </c>
      <c r="E100" s="13" t="s">
        <v>578</v>
      </c>
      <c r="F100" s="13" t="b">
        <f t="shared" si="156"/>
        <v>1</v>
      </c>
      <c r="G100" s="13" t="s">
        <v>578</v>
      </c>
      <c r="H100" s="13" t="b">
        <f t="shared" si="185"/>
        <v>1</v>
      </c>
      <c r="I100" s="13" t="s">
        <v>578</v>
      </c>
      <c r="J100" s="13" t="b">
        <f t="shared" si="82"/>
        <v>1</v>
      </c>
      <c r="K100" s="13" t="s">
        <v>578</v>
      </c>
      <c r="L100" s="13" t="b">
        <f t="shared" si="154"/>
        <v>1</v>
      </c>
      <c r="M100" s="13" t="s">
        <v>578</v>
      </c>
      <c r="N100" s="13" t="b">
        <f t="shared" si="186"/>
        <v>1</v>
      </c>
      <c r="O100" s="13" t="s">
        <v>578</v>
      </c>
      <c r="P100" s="13" t="b">
        <f t="shared" si="187"/>
        <v>1</v>
      </c>
      <c r="Q100" s="13" t="s">
        <v>578</v>
      </c>
      <c r="R100" s="13" t="b">
        <f t="shared" si="155"/>
        <v>1</v>
      </c>
      <c r="S100" s="13" t="s">
        <v>300</v>
      </c>
      <c r="T100" s="13" t="b">
        <f t="shared" si="157"/>
        <v>0</v>
      </c>
      <c r="U100" s="13" t="str">
        <f t="shared" si="234"/>
        <v>Service availability contract inclusions:FALSE</v>
      </c>
    </row>
    <row r="101" spans="1:21" ht="16.2" thickBot="1">
      <c r="A101" s="12" t="s">
        <v>593</v>
      </c>
      <c r="B101" s="13" t="b">
        <f t="shared" si="184"/>
        <v>0</v>
      </c>
      <c r="C101" s="13" t="s">
        <v>578</v>
      </c>
      <c r="D101" s="13" t="b" cm="1">
        <f t="array" ref="D101">IF(C101="Any",TRUE,ClientType=C101)</f>
        <v>1</v>
      </c>
      <c r="E101" s="13" t="s">
        <v>578</v>
      </c>
      <c r="F101" s="13" t="b">
        <f t="shared" si="156"/>
        <v>1</v>
      </c>
      <c r="G101" s="13" t="s">
        <v>578</v>
      </c>
      <c r="H101" s="13" t="b">
        <f t="shared" si="185"/>
        <v>1</v>
      </c>
      <c r="I101" s="13" t="s">
        <v>578</v>
      </c>
      <c r="J101" s="13" t="b">
        <f t="shared" si="82"/>
        <v>1</v>
      </c>
      <c r="K101" s="13" t="s">
        <v>578</v>
      </c>
      <c r="L101" s="13" t="b">
        <f t="shared" si="154"/>
        <v>1</v>
      </c>
      <c r="M101" s="13" t="s">
        <v>578</v>
      </c>
      <c r="N101" s="13" t="b">
        <f t="shared" si="186"/>
        <v>1</v>
      </c>
      <c r="O101" s="13" t="s">
        <v>578</v>
      </c>
      <c r="P101" s="13" t="b">
        <f t="shared" si="187"/>
        <v>1</v>
      </c>
      <c r="Q101" s="13" t="s">
        <v>578</v>
      </c>
      <c r="R101" s="13" t="b">
        <f t="shared" si="155"/>
        <v>1</v>
      </c>
      <c r="S101" s="13" t="s">
        <v>294</v>
      </c>
      <c r="T101" s="13" t="b">
        <f t="shared" si="157"/>
        <v>0</v>
      </c>
      <c r="U101" s="13" t="str">
        <f t="shared" si="234"/>
        <v>Managed application security contract inclusions:FALSE</v>
      </c>
    </row>
    <row r="102" spans="1:21" ht="16.2" thickBot="1">
      <c r="A102" s="12" t="s">
        <v>593</v>
      </c>
      <c r="B102" s="13" t="b">
        <f>IF(A102="Any",TRUE,Management=A102)</f>
        <v>0</v>
      </c>
      <c r="C102" s="13" t="s">
        <v>578</v>
      </c>
      <c r="D102" s="13" t="b" cm="1">
        <f t="array" ref="D102">IF(C102="Any",TRUE,ClientType=C102)</f>
        <v>1</v>
      </c>
      <c r="E102" s="13" t="s">
        <v>578</v>
      </c>
      <c r="F102" s="13" t="b">
        <f t="shared" si="156"/>
        <v>1</v>
      </c>
      <c r="G102" s="13" t="s">
        <v>578</v>
      </c>
      <c r="H102" s="13" t="b">
        <f>IF(G102="Any",TRUE,Software=G102)</f>
        <v>1</v>
      </c>
      <c r="I102" s="13" t="s">
        <v>578</v>
      </c>
      <c r="J102" s="13" t="b">
        <f>IF(I102="Any",TRUE,Software=I102)</f>
        <v>1</v>
      </c>
      <c r="K102" s="13" t="s">
        <v>385</v>
      </c>
      <c r="L102" s="13" t="b">
        <f t="shared" si="154"/>
        <v>0</v>
      </c>
      <c r="M102" s="13" t="s">
        <v>578</v>
      </c>
      <c r="N102" s="13" t="b">
        <f>IF(M102="Any",TRUE,Confidentiality=M102)</f>
        <v>1</v>
      </c>
      <c r="O102" s="13" t="s">
        <v>578</v>
      </c>
      <c r="P102" s="13" t="b">
        <f>IF(O102="Any",TRUE,Integrity=O102)</f>
        <v>1</v>
      </c>
      <c r="Q102" s="13" t="s">
        <v>578</v>
      </c>
      <c r="R102" s="13" t="b">
        <f t="shared" si="155"/>
        <v>1</v>
      </c>
      <c r="S102" s="13" t="s">
        <v>282</v>
      </c>
      <c r="T102" s="13" t="b">
        <f t="shared" si="157"/>
        <v>0</v>
      </c>
      <c r="U102" s="13" t="str">
        <f>CONCATENATE(S102,":",T102)</f>
        <v>Contract audit (2 years):FALSE</v>
      </c>
    </row>
    <row r="103" spans="1:21" ht="16.2" thickBot="1">
      <c r="A103" s="12" t="s">
        <v>593</v>
      </c>
      <c r="B103" s="13" t="b">
        <f>IF(A103="Any",TRUE,Management=A103)</f>
        <v>0</v>
      </c>
      <c r="C103" s="13" t="s">
        <v>578</v>
      </c>
      <c r="D103" s="13" t="b" cm="1">
        <f t="array" ref="D103">IF(C103="Any",TRUE,ClientType=C103)</f>
        <v>1</v>
      </c>
      <c r="E103" s="13" t="s">
        <v>578</v>
      </c>
      <c r="F103" s="13" t="b">
        <f t="shared" si="156"/>
        <v>1</v>
      </c>
      <c r="G103" s="13" t="s">
        <v>578</v>
      </c>
      <c r="H103" s="13" t="b">
        <f>IF(G103="Any",TRUE,Software=G103)</f>
        <v>1</v>
      </c>
      <c r="I103" s="13" t="s">
        <v>578</v>
      </c>
      <c r="J103" s="13" t="b">
        <f>IF(I103="Any",TRUE,Software=I103)</f>
        <v>1</v>
      </c>
      <c r="K103" s="13" t="s">
        <v>389</v>
      </c>
      <c r="L103" s="13" t="b">
        <f t="shared" si="154"/>
        <v>1</v>
      </c>
      <c r="M103" s="13" t="s">
        <v>578</v>
      </c>
      <c r="N103" s="13" t="b">
        <f>IF(M103="Any",TRUE,Confidentiality=M103)</f>
        <v>1</v>
      </c>
      <c r="O103" s="13" t="s">
        <v>578</v>
      </c>
      <c r="P103" s="13" t="b">
        <f>IF(O103="Any",TRUE,Integrity=O103)</f>
        <v>1</v>
      </c>
      <c r="Q103" s="13" t="s">
        <v>578</v>
      </c>
      <c r="R103" s="13" t="b">
        <f t="shared" si="155"/>
        <v>1</v>
      </c>
      <c r="S103" s="13" t="s">
        <v>285</v>
      </c>
      <c r="T103" s="13" t="b">
        <f t="shared" si="157"/>
        <v>0</v>
      </c>
      <c r="U103" s="13" t="str">
        <f>CONCATENATE(S103,":",T103)</f>
        <v>Contract audit (annual):FALSE</v>
      </c>
    </row>
    <row r="104" spans="1:21" ht="16.2" thickBot="1">
      <c r="A104" s="12" t="s">
        <v>593</v>
      </c>
      <c r="B104" s="13" t="b">
        <f>IF(A104="Any",TRUE,Management=A104)</f>
        <v>0</v>
      </c>
      <c r="C104" s="13" t="s">
        <v>578</v>
      </c>
      <c r="D104" s="13" t="b" cm="1">
        <f t="array" ref="D104">IF(C104="Any",TRUE,ClientType=C104)</f>
        <v>1</v>
      </c>
      <c r="E104" s="13" t="s">
        <v>578</v>
      </c>
      <c r="F104" s="13" t="b">
        <f t="shared" ref="F104" si="253">IF(E104="Any",TRUE,HasIntegrations=E104)</f>
        <v>1</v>
      </c>
      <c r="G104" s="13" t="s">
        <v>578</v>
      </c>
      <c r="H104" s="13" t="b">
        <f>IF(G104="Any",TRUE,Software=G104)</f>
        <v>1</v>
      </c>
      <c r="I104" s="13" t="s">
        <v>578</v>
      </c>
      <c r="J104" s="13" t="b">
        <f>IF(I104="Any",TRUE,Software=I104)</f>
        <v>1</v>
      </c>
      <c r="K104" s="13" t="s">
        <v>395</v>
      </c>
      <c r="L104" s="13" t="b">
        <f t="shared" si="154"/>
        <v>0</v>
      </c>
      <c r="M104" s="13" t="s">
        <v>578</v>
      </c>
      <c r="N104" s="13" t="b">
        <f>IF(M104="Any",TRUE,Confidentiality=M104)</f>
        <v>1</v>
      </c>
      <c r="O104" s="13" t="s">
        <v>578</v>
      </c>
      <c r="P104" s="13" t="b">
        <f>IF(O104="Any",TRUE,Integrity=O104)</f>
        <v>1</v>
      </c>
      <c r="Q104" s="13" t="s">
        <v>578</v>
      </c>
      <c r="R104" s="13" t="b">
        <f t="shared" si="155"/>
        <v>1</v>
      </c>
      <c r="S104" s="13" t="s">
        <v>285</v>
      </c>
      <c r="T104" s="13" t="b">
        <f t="shared" ref="T104" si="254">AND(B104,D104,F104,H104,J104,L104,N104,P104,R104)</f>
        <v>0</v>
      </c>
      <c r="U104" s="13" t="str">
        <f>CONCATENATE(S104,":",T104)</f>
        <v>Contract audit (annual):FALSE</v>
      </c>
    </row>
    <row r="105" spans="1:21" ht="16.2" thickBot="1">
      <c r="A105" s="12" t="s">
        <v>593</v>
      </c>
      <c r="B105" s="13" t="b">
        <f>IF(A105="Any",TRUE,Management=A105)</f>
        <v>0</v>
      </c>
      <c r="C105" s="13" t="s">
        <v>578</v>
      </c>
      <c r="D105" s="13" t="b" cm="1">
        <f t="array" ref="D105">IF(C105="Any",TRUE,ClientType=C105)</f>
        <v>1</v>
      </c>
      <c r="E105" s="13" t="s">
        <v>578</v>
      </c>
      <c r="F105" s="13" t="b">
        <f t="shared" ref="F105" si="255">IF(E105="Any",TRUE,HasIntegrations=E105)</f>
        <v>1</v>
      </c>
      <c r="G105" s="13" t="s">
        <v>578</v>
      </c>
      <c r="H105" s="13" t="b">
        <f>IF(G105="Any",TRUE,Software=G105)</f>
        <v>1</v>
      </c>
      <c r="I105" s="13" t="s">
        <v>578</v>
      </c>
      <c r="J105" s="13" t="b">
        <f>IF(I105="Any",TRUE,Software=I105)</f>
        <v>1</v>
      </c>
      <c r="K105" s="13" t="s">
        <v>578</v>
      </c>
      <c r="L105" s="13" t="b">
        <f t="shared" ref="L105" si="256">IF(K105="Any",TRUE,ApplicationTier=K105)</f>
        <v>1</v>
      </c>
      <c r="M105" s="13" t="s">
        <v>578</v>
      </c>
      <c r="N105" s="13" t="b">
        <f>IF(M105="Any",TRUE,Confidentiality=M105)</f>
        <v>1</v>
      </c>
      <c r="O105" s="13" t="s">
        <v>578</v>
      </c>
      <c r="P105" s="13" t="b">
        <f>IF(O105="Any",TRUE,Integrity=O105)</f>
        <v>1</v>
      </c>
      <c r="Q105" s="13" t="s">
        <v>397</v>
      </c>
      <c r="R105" s="13" t="b">
        <f t="shared" ref="R105" si="257">IF(Q105="Any",TRUE,Availability=Q105)</f>
        <v>0</v>
      </c>
      <c r="S105" s="13" t="s">
        <v>171</v>
      </c>
      <c r="T105" s="13" t="b">
        <f t="shared" ref="T105" si="258">AND(B105,D105,F105,H105,J105,L105,N105,P105,R105)</f>
        <v>0</v>
      </c>
      <c r="U105" s="13" t="str">
        <f>CONCATENATE(S105,":",T105)</f>
        <v>Third-party support:FALSE</v>
      </c>
    </row>
    <row r="106" spans="1:21" ht="16.2" thickBot="1">
      <c r="A106" s="12" t="s">
        <v>593</v>
      </c>
      <c r="B106" s="13" t="b">
        <f>IF(A106="Any",TRUE,Management=A106)</f>
        <v>0</v>
      </c>
      <c r="C106" s="13" t="s">
        <v>578</v>
      </c>
      <c r="D106" s="13" t="b" cm="1">
        <f t="array" ref="D106">IF(C106="Any",TRUE,ClientType=C106)</f>
        <v>1</v>
      </c>
      <c r="E106" s="13" t="s">
        <v>578</v>
      </c>
      <c r="F106" s="13" t="b">
        <f t="shared" ref="F106" si="259">IF(E106="Any",TRUE,HasIntegrations=E106)</f>
        <v>1</v>
      </c>
      <c r="G106" s="13" t="s">
        <v>578</v>
      </c>
      <c r="H106" s="13" t="b">
        <f>IF(G106="Any",TRUE,Software=G106)</f>
        <v>1</v>
      </c>
      <c r="I106" s="13" t="s">
        <v>578</v>
      </c>
      <c r="J106" s="13" t="b">
        <f>IF(I106="Any",TRUE,Software=I106)</f>
        <v>1</v>
      </c>
      <c r="K106" s="13" t="s">
        <v>578</v>
      </c>
      <c r="L106" s="13" t="b">
        <f t="shared" ref="L106" si="260">IF(K106="Any",TRUE,ApplicationTier=K106)</f>
        <v>1</v>
      </c>
      <c r="M106" s="13" t="s">
        <v>578</v>
      </c>
      <c r="N106" s="13" t="b">
        <f>IF(M106="Any",TRUE,Confidentiality=M106)</f>
        <v>1</v>
      </c>
      <c r="O106" s="13" t="s">
        <v>578</v>
      </c>
      <c r="P106" s="13" t="b">
        <f>IF(O106="Any",TRUE,Integrity=O106)</f>
        <v>1</v>
      </c>
      <c r="Q106" s="13" t="s">
        <v>391</v>
      </c>
      <c r="R106" s="13" t="b">
        <f t="shared" ref="R106" si="261">IF(Q106="Any",TRUE,Availability=Q106)</f>
        <v>0</v>
      </c>
      <c r="S106" s="13" t="s">
        <v>171</v>
      </c>
      <c r="T106" s="13" t="b">
        <f t="shared" ref="T106" si="262">AND(B106,D106,F106,H106,J106,L106,N106,P106,R106)</f>
        <v>0</v>
      </c>
      <c r="U106" s="13" t="str">
        <f>CONCATENATE(S106,":",T106)</f>
        <v>Third-party support:FALSE</v>
      </c>
    </row>
    <row r="107" spans="1:21" ht="16.2" thickBot="1">
      <c r="A107" s="12" t="s">
        <v>578</v>
      </c>
      <c r="B107" s="13" t="b">
        <f t="shared" si="184"/>
        <v>1</v>
      </c>
      <c r="C107" s="13" t="s">
        <v>578</v>
      </c>
      <c r="D107" s="13" t="b" cm="1">
        <f t="array" ref="D107">IF(C107="Any",TRUE,ClientType=C107)</f>
        <v>1</v>
      </c>
      <c r="E107" s="13" t="s">
        <v>578</v>
      </c>
      <c r="F107" s="13" t="b">
        <f t="shared" si="156"/>
        <v>1</v>
      </c>
      <c r="G107" s="12" t="s">
        <v>594</v>
      </c>
      <c r="H107" s="13" t="b">
        <f t="shared" si="185"/>
        <v>0</v>
      </c>
      <c r="I107" s="13" t="s">
        <v>578</v>
      </c>
      <c r="J107" s="13" t="b">
        <f t="shared" si="82"/>
        <v>1</v>
      </c>
      <c r="K107" s="13" t="s">
        <v>578</v>
      </c>
      <c r="L107" s="13" t="b">
        <f t="shared" si="154"/>
        <v>1</v>
      </c>
      <c r="M107" s="13" t="s">
        <v>578</v>
      </c>
      <c r="N107" s="13" t="b">
        <f t="shared" si="186"/>
        <v>1</v>
      </c>
      <c r="O107" s="13" t="s">
        <v>578</v>
      </c>
      <c r="P107" s="13" t="b">
        <f t="shared" si="187"/>
        <v>1</v>
      </c>
      <c r="Q107" s="13" t="s">
        <v>578</v>
      </c>
      <c r="R107" s="13" t="b">
        <f t="shared" si="155"/>
        <v>1</v>
      </c>
      <c r="S107" s="13" t="s">
        <v>318</v>
      </c>
      <c r="T107" s="13" t="b">
        <f t="shared" si="157"/>
        <v>0</v>
      </c>
      <c r="U107" s="13" t="str">
        <f t="shared" si="234"/>
        <v>Secure software development:FALSE</v>
      </c>
    </row>
    <row r="108" spans="1:21" ht="16.2" thickBot="1">
      <c r="A108" s="12" t="s">
        <v>578</v>
      </c>
      <c r="B108" s="13" t="b">
        <f t="shared" si="184"/>
        <v>1</v>
      </c>
      <c r="C108" s="13" t="s">
        <v>578</v>
      </c>
      <c r="D108" s="13" t="b" cm="1">
        <f t="array" ref="D108">IF(C108="Any",TRUE,ClientType=C108)</f>
        <v>1</v>
      </c>
      <c r="E108" s="13" t="s">
        <v>578</v>
      </c>
      <c r="F108" s="13" t="b">
        <f t="shared" si="156"/>
        <v>1</v>
      </c>
      <c r="G108" s="12" t="s">
        <v>595</v>
      </c>
      <c r="H108" s="13" t="b">
        <f t="shared" si="185"/>
        <v>0</v>
      </c>
      <c r="I108" s="13" t="s">
        <v>578</v>
      </c>
      <c r="J108" s="13" t="b">
        <f t="shared" si="82"/>
        <v>1</v>
      </c>
      <c r="K108" s="13" t="s">
        <v>578</v>
      </c>
      <c r="L108" s="13" t="b">
        <f t="shared" si="154"/>
        <v>1</v>
      </c>
      <c r="M108" s="13" t="s">
        <v>578</v>
      </c>
      <c r="N108" s="13" t="b">
        <f t="shared" si="186"/>
        <v>1</v>
      </c>
      <c r="O108" s="13" t="s">
        <v>578</v>
      </c>
      <c r="P108" s="13" t="b">
        <f t="shared" si="187"/>
        <v>1</v>
      </c>
      <c r="Q108" s="13" t="s">
        <v>578</v>
      </c>
      <c r="R108" s="13" t="b">
        <f t="shared" si="155"/>
        <v>1</v>
      </c>
      <c r="S108" s="13" t="s">
        <v>318</v>
      </c>
      <c r="T108" s="13" t="b">
        <f t="shared" si="157"/>
        <v>0</v>
      </c>
      <c r="U108" s="13" t="str">
        <f t="shared" si="234"/>
        <v>Secure software development:FALSE</v>
      </c>
    </row>
    <row r="109" spans="1:21" ht="16.2" thickBot="1">
      <c r="A109" s="12" t="s">
        <v>578</v>
      </c>
      <c r="B109" s="13" t="b">
        <f t="shared" si="184"/>
        <v>1</v>
      </c>
      <c r="C109" s="12" t="s">
        <v>584</v>
      </c>
      <c r="D109" s="13" t="b" cm="1">
        <f t="array" ref="D109">IF(C109="Any",TRUE,ClientType=C109)</f>
        <v>0</v>
      </c>
      <c r="E109" s="12" t="s">
        <v>584</v>
      </c>
      <c r="F109" s="13" t="b">
        <f t="shared" si="156"/>
        <v>0</v>
      </c>
      <c r="G109" s="12" t="s">
        <v>584</v>
      </c>
      <c r="H109" s="13" t="b">
        <f t="shared" si="185"/>
        <v>0</v>
      </c>
      <c r="I109" s="13" t="s">
        <v>578</v>
      </c>
      <c r="J109" s="13" t="b">
        <f t="shared" si="82"/>
        <v>1</v>
      </c>
      <c r="K109" s="13" t="s">
        <v>578</v>
      </c>
      <c r="L109" s="13" t="b">
        <f t="shared" si="154"/>
        <v>1</v>
      </c>
      <c r="M109" s="13" t="s">
        <v>578</v>
      </c>
      <c r="N109" s="13" t="b">
        <f t="shared" si="186"/>
        <v>1</v>
      </c>
      <c r="O109" s="13" t="s">
        <v>578</v>
      </c>
      <c r="P109" s="13" t="b">
        <f t="shared" si="187"/>
        <v>1</v>
      </c>
      <c r="Q109" s="13" t="s">
        <v>578</v>
      </c>
      <c r="R109" s="13" t="b">
        <f t="shared" si="155"/>
        <v>1</v>
      </c>
      <c r="S109" s="13" t="s">
        <v>303</v>
      </c>
      <c r="T109" s="13" t="b">
        <f>AND(B109,D109,F109,H109,J109,L109,N109,P109,R109)</f>
        <v>0</v>
      </c>
      <c r="U109" s="13" t="str">
        <f t="shared" si="234"/>
        <v>Software procurement security requirements:FALSE</v>
      </c>
    </row>
  </sheetData>
  <autoFilter ref="A2:U109" xr:uid="{00000000-0001-0000-0300-000000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69741-1890-4E28-9D07-F4042275840D}">
  <sheetPr codeName="Sheet8"/>
  <dimension ref="A1:Q27"/>
  <sheetViews>
    <sheetView workbookViewId="0"/>
  </sheetViews>
  <sheetFormatPr defaultRowHeight="14.4"/>
  <cols>
    <col min="1" max="1" width="11" bestFit="1" customWidth="1"/>
    <col min="2" max="2" width="20" bestFit="1" customWidth="1"/>
    <col min="3" max="3" width="24" bestFit="1" customWidth="1"/>
    <col min="4" max="4" width="7.109375" bestFit="1" customWidth="1"/>
    <col min="6" max="6" width="12.33203125" bestFit="1" customWidth="1"/>
    <col min="7" max="7" width="13.33203125" bestFit="1" customWidth="1"/>
    <col min="8" max="8" width="13.5546875" bestFit="1" customWidth="1"/>
    <col min="10" max="10" width="10.33203125" bestFit="1" customWidth="1"/>
    <col min="11" max="12" width="14.6640625" customWidth="1"/>
    <col min="13" max="13" width="20" customWidth="1"/>
    <col min="14" max="14" width="17.44140625" bestFit="1" customWidth="1"/>
    <col min="15" max="15" width="21" bestFit="1" customWidth="1"/>
    <col min="16" max="16" width="15.33203125" bestFit="1" customWidth="1"/>
    <col min="17" max="17" width="14.33203125" customWidth="1"/>
  </cols>
  <sheetData>
    <row r="1" spans="1:17" s="19" customFormat="1" ht="28.2" customHeight="1">
      <c r="A1" s="19" t="s">
        <v>596</v>
      </c>
      <c r="B1" s="19" t="s">
        <v>383</v>
      </c>
      <c r="C1" s="19" t="s">
        <v>597</v>
      </c>
      <c r="D1" s="19" t="s">
        <v>86</v>
      </c>
      <c r="E1" s="19" t="s">
        <v>598</v>
      </c>
      <c r="F1" s="19" t="s">
        <v>599</v>
      </c>
      <c r="G1" s="19" t="s">
        <v>125</v>
      </c>
      <c r="H1" s="19" t="s">
        <v>58</v>
      </c>
      <c r="I1" s="19" t="s">
        <v>60</v>
      </c>
      <c r="J1" s="19" t="s">
        <v>356</v>
      </c>
      <c r="K1" s="19" t="s">
        <v>373</v>
      </c>
      <c r="L1" s="19" t="s">
        <v>600</v>
      </c>
      <c r="M1" s="19" t="s">
        <v>349</v>
      </c>
      <c r="N1" s="19" t="s">
        <v>67</v>
      </c>
      <c r="O1" s="19" t="s">
        <v>69</v>
      </c>
      <c r="P1" s="19" t="s">
        <v>407</v>
      </c>
      <c r="Q1" s="19" t="s">
        <v>371</v>
      </c>
    </row>
    <row r="2" spans="1:17">
      <c r="A2" t="s">
        <v>377</v>
      </c>
      <c r="B2" t="s">
        <v>21</v>
      </c>
      <c r="C2" t="s">
        <v>601</v>
      </c>
      <c r="D2" t="s">
        <v>395</v>
      </c>
      <c r="E2" t="s">
        <v>602</v>
      </c>
      <c r="F2" t="s">
        <v>603</v>
      </c>
      <c r="G2" t="s">
        <v>604</v>
      </c>
      <c r="H2" t="s">
        <v>605</v>
      </c>
      <c r="I2" t="s">
        <v>606</v>
      </c>
      <c r="J2" t="s">
        <v>21</v>
      </c>
      <c r="K2" t="str">
        <f>'Risk Matrix'!B23</f>
        <v>Insignificant (1)</v>
      </c>
      <c r="L2" t="s">
        <v>21</v>
      </c>
      <c r="M2" t="s">
        <v>483</v>
      </c>
      <c r="N2" t="s">
        <v>594</v>
      </c>
      <c r="O2" t="s">
        <v>586</v>
      </c>
      <c r="P2" t="s">
        <v>607</v>
      </c>
      <c r="Q2" t="s">
        <v>21</v>
      </c>
    </row>
    <row r="3" spans="1:17">
      <c r="A3" t="s">
        <v>380</v>
      </c>
      <c r="B3" t="s">
        <v>23</v>
      </c>
      <c r="C3" t="s">
        <v>608</v>
      </c>
      <c r="D3" t="s">
        <v>389</v>
      </c>
      <c r="E3" t="s">
        <v>609</v>
      </c>
      <c r="F3" t="s">
        <v>610</v>
      </c>
      <c r="G3" t="s">
        <v>611</v>
      </c>
      <c r="H3" t="s">
        <v>612</v>
      </c>
      <c r="I3" t="s">
        <v>613</v>
      </c>
      <c r="J3" t="s">
        <v>23</v>
      </c>
      <c r="K3" t="str">
        <f>'Risk Matrix'!C23</f>
        <v>Minor (2)</v>
      </c>
      <c r="L3" t="s">
        <v>21</v>
      </c>
      <c r="M3" t="s">
        <v>482</v>
      </c>
      <c r="N3" t="s">
        <v>584</v>
      </c>
      <c r="O3" t="s">
        <v>614</v>
      </c>
      <c r="P3" t="s">
        <v>615</v>
      </c>
      <c r="Q3" t="s">
        <v>23</v>
      </c>
    </row>
    <row r="4" spans="1:17">
      <c r="A4" t="s">
        <v>384</v>
      </c>
      <c r="B4" t="s">
        <v>25</v>
      </c>
      <c r="C4" t="s">
        <v>45</v>
      </c>
      <c r="D4" t="s">
        <v>385</v>
      </c>
      <c r="E4" t="s">
        <v>616</v>
      </c>
      <c r="F4" t="s">
        <v>617</v>
      </c>
      <c r="H4" t="s">
        <v>618</v>
      </c>
      <c r="I4" t="s">
        <v>619</v>
      </c>
      <c r="J4" t="s">
        <v>25</v>
      </c>
      <c r="K4" t="str">
        <f>'Risk Matrix'!D23</f>
        <v>Moderate (3)</v>
      </c>
      <c r="L4" t="s">
        <v>23</v>
      </c>
      <c r="M4" t="s">
        <v>481</v>
      </c>
      <c r="N4" t="s">
        <v>585</v>
      </c>
      <c r="O4" t="s">
        <v>620</v>
      </c>
      <c r="P4" t="s">
        <v>621</v>
      </c>
      <c r="Q4" t="s">
        <v>25</v>
      </c>
    </row>
    <row r="5" spans="1:17">
      <c r="A5" t="s">
        <v>42</v>
      </c>
      <c r="C5" t="s">
        <v>622</v>
      </c>
      <c r="D5" t="s">
        <v>379</v>
      </c>
      <c r="K5" t="str">
        <f>'Risk Matrix'!E23</f>
        <v>Major (4)</v>
      </c>
      <c r="L5" t="s">
        <v>25</v>
      </c>
      <c r="M5" t="s">
        <v>480</v>
      </c>
      <c r="N5" t="s">
        <v>595</v>
      </c>
      <c r="O5" t="s">
        <v>587</v>
      </c>
      <c r="P5" t="s">
        <v>623</v>
      </c>
      <c r="Q5" t="s">
        <v>27</v>
      </c>
    </row>
    <row r="6" spans="1:17">
      <c r="A6" t="s">
        <v>393</v>
      </c>
      <c r="K6" t="s">
        <v>394</v>
      </c>
      <c r="L6" t="s">
        <v>25</v>
      </c>
      <c r="M6" t="s">
        <v>478</v>
      </c>
      <c r="O6" t="s">
        <v>588</v>
      </c>
    </row>
    <row r="7" spans="1:17">
      <c r="O7" t="s">
        <v>624</v>
      </c>
    </row>
    <row r="8" spans="1:17">
      <c r="O8" t="s">
        <v>625</v>
      </c>
    </row>
    <row r="9" spans="1:17">
      <c r="C9" t="s">
        <v>626</v>
      </c>
      <c r="D9" t="b">
        <f>IF(Management="External",IF(ExternalPenTesting="Yes","External","ExNoPenTesting"))</f>
        <v>0</v>
      </c>
    </row>
    <row r="11" spans="1:17" ht="28.95" customHeight="1">
      <c r="A11" s="18" t="s">
        <v>356</v>
      </c>
      <c r="B11" s="19" t="s">
        <v>371</v>
      </c>
      <c r="C11" s="18" t="s">
        <v>627</v>
      </c>
      <c r="D11" s="18" t="s">
        <v>360</v>
      </c>
    </row>
    <row r="12" spans="1:17">
      <c r="A12" t="s">
        <v>21</v>
      </c>
      <c r="B12" t="s">
        <v>21</v>
      </c>
      <c r="C12" t="str">
        <f>CONCATENATE(A12,"-",B12)</f>
        <v>Low-Low</v>
      </c>
      <c r="D12">
        <v>4</v>
      </c>
    </row>
    <row r="13" spans="1:17">
      <c r="A13" t="s">
        <v>21</v>
      </c>
      <c r="B13" t="s">
        <v>23</v>
      </c>
      <c r="C13" t="str">
        <f t="shared" ref="C13:C27" si="0">CONCATENATE(A13,"-",B13)</f>
        <v>Low-Medium</v>
      </c>
      <c r="D13">
        <v>2</v>
      </c>
    </row>
    <row r="14" spans="1:17">
      <c r="A14" t="s">
        <v>21</v>
      </c>
      <c r="B14" t="s">
        <v>25</v>
      </c>
      <c r="C14" t="str">
        <f t="shared" si="0"/>
        <v>Low-High</v>
      </c>
      <c r="D14">
        <v>1</v>
      </c>
    </row>
    <row r="15" spans="1:17">
      <c r="A15" t="s">
        <v>21</v>
      </c>
      <c r="B15" t="s">
        <v>628</v>
      </c>
      <c r="C15" t="str">
        <f t="shared" si="0"/>
        <v>Low-Not Feasible</v>
      </c>
      <c r="D15">
        <v>0</v>
      </c>
    </row>
    <row r="16" spans="1:17">
      <c r="A16" t="s">
        <v>23</v>
      </c>
      <c r="B16" t="s">
        <v>21</v>
      </c>
      <c r="C16" t="str">
        <f t="shared" si="0"/>
        <v>Medium-Low</v>
      </c>
      <c r="D16">
        <v>8</v>
      </c>
    </row>
    <row r="17" spans="1:4">
      <c r="A17" t="s">
        <v>23</v>
      </c>
      <c r="B17" t="s">
        <v>23</v>
      </c>
      <c r="C17" t="str">
        <f t="shared" si="0"/>
        <v>Medium-Medium</v>
      </c>
      <c r="D17">
        <v>4</v>
      </c>
    </row>
    <row r="18" spans="1:4">
      <c r="A18" t="s">
        <v>23</v>
      </c>
      <c r="B18" t="s">
        <v>25</v>
      </c>
      <c r="C18" t="str">
        <f t="shared" si="0"/>
        <v>Medium-High</v>
      </c>
      <c r="D18">
        <v>2</v>
      </c>
    </row>
    <row r="19" spans="1:4">
      <c r="A19" t="s">
        <v>23</v>
      </c>
      <c r="B19" t="s">
        <v>628</v>
      </c>
      <c r="C19" t="str">
        <f t="shared" si="0"/>
        <v>Medium-Not Feasible</v>
      </c>
      <c r="D19">
        <v>0</v>
      </c>
    </row>
    <row r="20" spans="1:4">
      <c r="A20" t="s">
        <v>25</v>
      </c>
      <c r="B20" t="s">
        <v>21</v>
      </c>
      <c r="C20" t="str">
        <f t="shared" si="0"/>
        <v>High-Low</v>
      </c>
      <c r="D20">
        <v>16</v>
      </c>
    </row>
    <row r="21" spans="1:4">
      <c r="A21" t="s">
        <v>25</v>
      </c>
      <c r="B21" t="s">
        <v>23</v>
      </c>
      <c r="C21" t="str">
        <f t="shared" si="0"/>
        <v>High-Medium</v>
      </c>
      <c r="D21">
        <v>8</v>
      </c>
    </row>
    <row r="22" spans="1:4">
      <c r="A22" t="s">
        <v>25</v>
      </c>
      <c r="B22" t="s">
        <v>25</v>
      </c>
      <c r="C22" t="str">
        <f t="shared" si="0"/>
        <v>High-High</v>
      </c>
      <c r="D22">
        <v>4</v>
      </c>
    </row>
    <row r="23" spans="1:4">
      <c r="A23" t="s">
        <v>25</v>
      </c>
      <c r="B23" t="s">
        <v>628</v>
      </c>
      <c r="C23" t="str">
        <f t="shared" si="0"/>
        <v>High-Not Feasible</v>
      </c>
      <c r="D23">
        <v>0</v>
      </c>
    </row>
    <row r="24" spans="1:4">
      <c r="A24" t="s">
        <v>479</v>
      </c>
      <c r="B24" t="s">
        <v>21</v>
      </c>
      <c r="C24" t="str">
        <f t="shared" si="0"/>
        <v>Extreme-Low</v>
      </c>
      <c r="D24">
        <v>32</v>
      </c>
    </row>
    <row r="25" spans="1:4">
      <c r="A25" t="s">
        <v>479</v>
      </c>
      <c r="B25" t="s">
        <v>23</v>
      </c>
      <c r="C25" t="str">
        <f t="shared" si="0"/>
        <v>Extreme-Medium</v>
      </c>
      <c r="D25">
        <v>16</v>
      </c>
    </row>
    <row r="26" spans="1:4">
      <c r="A26" t="s">
        <v>479</v>
      </c>
      <c r="B26" t="s">
        <v>25</v>
      </c>
      <c r="C26" t="str">
        <f t="shared" si="0"/>
        <v>Extreme-High</v>
      </c>
      <c r="D26">
        <v>8</v>
      </c>
    </row>
    <row r="27" spans="1:4">
      <c r="A27" t="s">
        <v>479</v>
      </c>
      <c r="B27" t="s">
        <v>628</v>
      </c>
      <c r="C27" t="str">
        <f t="shared" si="0"/>
        <v>Extreme-Not Feasible</v>
      </c>
      <c r="D27">
        <v>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BBD4-B028-4ECF-B299-09FCCF542D52}">
  <dimension ref="A1:I10"/>
  <sheetViews>
    <sheetView workbookViewId="0">
      <selection activeCell="D22" sqref="D22"/>
    </sheetView>
  </sheetViews>
  <sheetFormatPr defaultRowHeight="14.4"/>
  <cols>
    <col min="1" max="2" width="14.5546875" customWidth="1"/>
    <col min="3" max="4" width="19" customWidth="1"/>
    <col min="5" max="6" width="18.33203125" customWidth="1"/>
    <col min="7" max="7" width="38.6640625" bestFit="1" customWidth="1"/>
    <col min="8" max="8" width="14.5546875" customWidth="1"/>
    <col min="9" max="9" width="44.6640625" bestFit="1" customWidth="1"/>
  </cols>
  <sheetData>
    <row r="1" spans="1:9">
      <c r="A1" s="4" t="s">
        <v>86</v>
      </c>
      <c r="B1" s="4" t="s">
        <v>575</v>
      </c>
      <c r="C1" s="4" t="s">
        <v>122</v>
      </c>
      <c r="D1" s="4" t="s">
        <v>575</v>
      </c>
      <c r="E1" s="4" t="s">
        <v>307</v>
      </c>
      <c r="F1" s="4" t="s">
        <v>575</v>
      </c>
      <c r="G1" s="4" t="s">
        <v>403</v>
      </c>
      <c r="H1" s="4" t="s">
        <v>92</v>
      </c>
      <c r="I1" s="4"/>
    </row>
    <row r="2" spans="1:9">
      <c r="A2" s="3" t="s">
        <v>578</v>
      </c>
      <c r="B2" s="3" t="b">
        <f t="shared" ref="B2:B10" si="0">IF(A2="Any",TRUE,ApplicationTier=A2)</f>
        <v>1</v>
      </c>
      <c r="C2" s="3" t="s">
        <v>579</v>
      </c>
      <c r="D2" s="3" t="b">
        <f t="shared" ref="D2:D10" si="1">IF(C2="Any",TRUE,VLOOKUP(C$1,AssessedControls,5,FALSE)=C2)</f>
        <v>0</v>
      </c>
      <c r="E2" s="3" t="s">
        <v>629</v>
      </c>
      <c r="F2" s="3" t="b">
        <f t="shared" ref="F2:F10" si="2">IF(E2="Any",TRUE,VLOOKUP(E$1,AssessedControls,5,FALSE)=E2)</f>
        <v>0</v>
      </c>
      <c r="G2" s="3" t="s">
        <v>337</v>
      </c>
      <c r="H2" s="3" t="b">
        <f t="shared" ref="H2:H7" si="3">AND(B2,F2,D2)</f>
        <v>0</v>
      </c>
      <c r="I2" s="3" t="str">
        <f t="shared" ref="I2" si="4">CONCATENATE(G2,":",H2)</f>
        <v>Network access restricted to UQ networks:FALSE</v>
      </c>
    </row>
    <row r="3" spans="1:9">
      <c r="A3" s="3" t="s">
        <v>630</v>
      </c>
      <c r="B3" s="3" t="b">
        <f t="shared" si="0"/>
        <v>0</v>
      </c>
      <c r="C3" s="3" t="s">
        <v>629</v>
      </c>
      <c r="D3" s="3" t="b">
        <f t="shared" si="1"/>
        <v>0</v>
      </c>
      <c r="E3" s="3" t="s">
        <v>579</v>
      </c>
      <c r="F3" s="3" t="b">
        <f t="shared" si="2"/>
        <v>0</v>
      </c>
      <c r="G3" s="3" t="s">
        <v>337</v>
      </c>
      <c r="H3" s="3" t="b">
        <f t="shared" si="3"/>
        <v>0</v>
      </c>
      <c r="I3" s="3" t="str">
        <f t="shared" ref="I3:I7" si="5">CONCATENATE(G3,":",H3)</f>
        <v>Network access restricted to UQ networks:FALSE</v>
      </c>
    </row>
    <row r="4" spans="1:9">
      <c r="A4" s="3" t="s">
        <v>379</v>
      </c>
      <c r="B4" s="3" t="b">
        <f t="shared" si="0"/>
        <v>0</v>
      </c>
      <c r="C4" s="3" t="s">
        <v>629</v>
      </c>
      <c r="D4" s="3" t="b">
        <f t="shared" si="1"/>
        <v>0</v>
      </c>
      <c r="E4" s="3" t="s">
        <v>629</v>
      </c>
      <c r="F4" s="3" t="b">
        <f t="shared" si="2"/>
        <v>0</v>
      </c>
      <c r="G4" s="3" t="s">
        <v>337</v>
      </c>
      <c r="H4" s="3" t="b">
        <f t="shared" si="3"/>
        <v>0</v>
      </c>
      <c r="I4" s="3" t="str">
        <f t="shared" si="5"/>
        <v>Network access restricted to UQ networks:FALSE</v>
      </c>
    </row>
    <row r="5" spans="1:9">
      <c r="A5" s="3" t="s">
        <v>385</v>
      </c>
      <c r="B5" s="3" t="b">
        <f t="shared" si="0"/>
        <v>0</v>
      </c>
      <c r="C5" s="3" t="s">
        <v>629</v>
      </c>
      <c r="D5" s="3" t="b">
        <f t="shared" si="1"/>
        <v>0</v>
      </c>
      <c r="E5" s="3" t="s">
        <v>579</v>
      </c>
      <c r="F5" s="3" t="b">
        <f t="shared" si="2"/>
        <v>0</v>
      </c>
      <c r="G5" s="3" t="s">
        <v>337</v>
      </c>
      <c r="H5" s="3" t="b">
        <f t="shared" si="3"/>
        <v>0</v>
      </c>
      <c r="I5" s="3" t="str">
        <f t="shared" si="5"/>
        <v>Network access restricted to UQ networks:FALSE</v>
      </c>
    </row>
    <row r="6" spans="1:9">
      <c r="A6" s="3" t="s">
        <v>385</v>
      </c>
      <c r="B6" s="3" t="b">
        <f t="shared" si="0"/>
        <v>0</v>
      </c>
      <c r="C6" s="3" t="s">
        <v>629</v>
      </c>
      <c r="D6" s="3" t="b">
        <f t="shared" si="1"/>
        <v>0</v>
      </c>
      <c r="E6" s="3" t="s">
        <v>629</v>
      </c>
      <c r="F6" s="3" t="b">
        <f t="shared" ref="F6" si="6">IF(E6="Any",TRUE,VLOOKUP(E$1,AssessedControls,5,FALSE)=E6)</f>
        <v>0</v>
      </c>
      <c r="G6" s="3" t="s">
        <v>337</v>
      </c>
      <c r="H6" s="3" t="b">
        <f t="shared" si="3"/>
        <v>0</v>
      </c>
      <c r="I6" s="3" t="str">
        <f t="shared" ref="I6" si="7">CONCATENATE(G6,":",H6)</f>
        <v>Network access restricted to UQ networks:FALSE</v>
      </c>
    </row>
    <row r="7" spans="1:9">
      <c r="A7" s="3" t="s">
        <v>389</v>
      </c>
      <c r="B7" s="3" t="b">
        <f t="shared" si="0"/>
        <v>1</v>
      </c>
      <c r="C7" s="3" t="s">
        <v>629</v>
      </c>
      <c r="D7" s="3" t="b">
        <f t="shared" si="1"/>
        <v>0</v>
      </c>
      <c r="E7" s="3" t="s">
        <v>579</v>
      </c>
      <c r="F7" s="3" t="b">
        <f t="shared" si="2"/>
        <v>0</v>
      </c>
      <c r="G7" s="3" t="s">
        <v>340</v>
      </c>
      <c r="H7" s="3" t="b">
        <f t="shared" si="3"/>
        <v>0</v>
      </c>
      <c r="I7" s="3" t="str">
        <f t="shared" si="5"/>
        <v>Network access restricted to UQ users:FALSE</v>
      </c>
    </row>
    <row r="8" spans="1:9">
      <c r="A8" s="3" t="s">
        <v>389</v>
      </c>
      <c r="B8" s="3" t="b">
        <f t="shared" si="0"/>
        <v>1</v>
      </c>
      <c r="C8" s="3" t="s">
        <v>629</v>
      </c>
      <c r="D8" s="3" t="b">
        <f t="shared" si="1"/>
        <v>0</v>
      </c>
      <c r="E8" s="3" t="s">
        <v>629</v>
      </c>
      <c r="F8" s="3" t="b">
        <f t="shared" si="2"/>
        <v>0</v>
      </c>
      <c r="G8" s="3" t="s">
        <v>340</v>
      </c>
      <c r="H8" s="3" t="b">
        <f t="shared" ref="H8:H10" si="8">AND(B8,F8,D8)</f>
        <v>0</v>
      </c>
      <c r="I8" s="3" t="str">
        <f t="shared" ref="I8:I10" si="9">CONCATENATE(G8,":",H8)</f>
        <v>Network access restricted to UQ users:FALSE</v>
      </c>
    </row>
    <row r="9" spans="1:9">
      <c r="A9" s="3" t="s">
        <v>395</v>
      </c>
      <c r="B9" s="3" t="b">
        <f t="shared" si="0"/>
        <v>0</v>
      </c>
      <c r="C9" s="3" t="s">
        <v>629</v>
      </c>
      <c r="D9" s="3" t="b">
        <f t="shared" si="1"/>
        <v>0</v>
      </c>
      <c r="E9" s="3" t="s">
        <v>579</v>
      </c>
      <c r="F9" s="3" t="b">
        <f t="shared" si="2"/>
        <v>0</v>
      </c>
      <c r="G9" s="3" t="s">
        <v>340</v>
      </c>
      <c r="H9" s="3" t="b">
        <f t="shared" si="8"/>
        <v>0</v>
      </c>
      <c r="I9" s="3" t="str">
        <f t="shared" si="9"/>
        <v>Network access restricted to UQ users:FALSE</v>
      </c>
    </row>
    <row r="10" spans="1:9" ht="28.8">
      <c r="A10" s="3" t="s">
        <v>395</v>
      </c>
      <c r="B10" s="3" t="b">
        <f t="shared" si="0"/>
        <v>0</v>
      </c>
      <c r="C10" s="3" t="s">
        <v>629</v>
      </c>
      <c r="D10" s="3" t="b">
        <f t="shared" si="1"/>
        <v>0</v>
      </c>
      <c r="E10" s="3" t="s">
        <v>629</v>
      </c>
      <c r="F10" s="3" t="b">
        <f t="shared" si="2"/>
        <v>0</v>
      </c>
      <c r="G10" s="5" t="s">
        <v>343</v>
      </c>
      <c r="H10" s="3" t="b">
        <f t="shared" si="8"/>
        <v>0</v>
      </c>
      <c r="I10" s="5" t="str">
        <f t="shared" si="9"/>
        <v>Network access restricted to UQ users and UQ managed devices:FALSE</v>
      </c>
    </row>
  </sheetData>
  <conditionalFormatting sqref="A1:I1">
    <cfRule type="expression" dxfId="17" priority="21">
      <formula>NOT($G1)</formula>
    </cfRule>
    <cfRule type="expression" dxfId="16" priority="22">
      <formula>AND($G1,$H1="No")</formula>
    </cfRule>
    <cfRule type="expression" dxfId="15" priority="23">
      <formula>AND($G1,$H1="Partial")</formula>
    </cfRule>
    <cfRule type="expression" dxfId="14" priority="24">
      <formula>AND($G1,$H1="Yes")</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DC7A-3CDB-4B0C-9E4B-5FB7BF18DC50}">
  <dimension ref="A1"/>
  <sheetViews>
    <sheetView workbookViewId="0"/>
  </sheetViews>
  <sheetFormatPr defaultRowHeight="14.4"/>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911E-7FBF-4D31-9217-7B6FD9D8AAFB}">
  <sheetPr filterMode="1"/>
  <dimension ref="A1:R79"/>
  <sheetViews>
    <sheetView topLeftCell="A56" zoomScale="70" zoomScaleNormal="70" workbookViewId="0">
      <selection activeCell="A68" sqref="A68"/>
    </sheetView>
  </sheetViews>
  <sheetFormatPr defaultRowHeight="14.4"/>
  <cols>
    <col min="1" max="1" width="25.109375" bestFit="1" customWidth="1"/>
    <col min="2" max="2" width="33" customWidth="1"/>
    <col min="3" max="3" width="41.109375" customWidth="1"/>
    <col min="4" max="4" width="14.33203125" bestFit="1" customWidth="1"/>
    <col min="5" max="8" width="12" bestFit="1" customWidth="1"/>
    <col min="9" max="9" width="29.33203125" customWidth="1"/>
    <col min="10" max="10" width="18.109375" style="131" bestFit="1" customWidth="1"/>
    <col min="11" max="11" width="19.33203125" style="131" customWidth="1"/>
    <col min="12" max="12" width="23.44140625" style="131" customWidth="1"/>
    <col min="13" max="13" width="18" style="131" customWidth="1"/>
    <col min="14" max="14" width="20.109375" style="131" customWidth="1"/>
    <col min="15" max="15" width="17.5546875" style="131" customWidth="1"/>
    <col min="17" max="17" width="36" bestFit="1" customWidth="1"/>
  </cols>
  <sheetData>
    <row r="1" spans="1:18" s="17" customFormat="1" ht="41.25" customHeight="1">
      <c r="A1" s="112" t="s">
        <v>88</v>
      </c>
      <c r="B1" s="111" t="s">
        <v>631</v>
      </c>
      <c r="C1" s="111" t="s">
        <v>632</v>
      </c>
      <c r="D1" s="112" t="s">
        <v>357</v>
      </c>
      <c r="E1" s="136" t="s">
        <v>633</v>
      </c>
      <c r="F1" s="136" t="s">
        <v>634</v>
      </c>
      <c r="G1" s="136" t="s">
        <v>635</v>
      </c>
      <c r="H1" s="136" t="s">
        <v>636</v>
      </c>
      <c r="I1" s="112" t="s">
        <v>637</v>
      </c>
      <c r="J1" s="137" t="s">
        <v>638</v>
      </c>
      <c r="K1" s="137" t="s">
        <v>639</v>
      </c>
      <c r="L1" s="137" t="s">
        <v>640</v>
      </c>
      <c r="M1" s="137" t="s">
        <v>641</v>
      </c>
      <c r="N1" s="137" t="s">
        <v>642</v>
      </c>
      <c r="O1" s="137" t="s">
        <v>643</v>
      </c>
      <c r="Q1" s="112" t="s">
        <v>644</v>
      </c>
    </row>
    <row r="2" spans="1:18" ht="57.6">
      <c r="A2" s="113" t="s">
        <v>99</v>
      </c>
      <c r="B2" s="114" t="s">
        <v>100</v>
      </c>
      <c r="C2" s="114" t="s">
        <v>101</v>
      </c>
      <c r="D2" s="113" t="s">
        <v>103</v>
      </c>
      <c r="E2" s="115" t="s">
        <v>645</v>
      </c>
      <c r="F2" s="115" t="s">
        <v>645</v>
      </c>
      <c r="G2" s="115" t="s">
        <v>645</v>
      </c>
      <c r="H2" s="115" t="s">
        <v>645</v>
      </c>
      <c r="I2" s="114"/>
      <c r="J2" s="131" t="str">
        <f>IF(COUNTIF($D:$D,$D2)=1,"N","Y")</f>
        <v>N</v>
      </c>
      <c r="K2" s="131" t="str">
        <f>IF(ISERROR(VLOOKUP($D2,'General Controls'!$K:$K,1,FALSE)),"N","Y")</f>
        <v>Y</v>
      </c>
      <c r="L2" s="131" t="str">
        <f t="shared" ref="L2:L33" si="0">IF(K2="N","",IF($B2&lt;&gt;INDEX(ControlTable,MATCH($D2,ControlTableID,0),MATCH("Control Name",ControlHeader,0)),"N",IF($C2&lt;&gt;INDEX(ControlTable,MATCH($D2,ControlTableID,0),MATCH("Control Description",ControlHeader,0)),"N","Y")))</f>
        <v>Y</v>
      </c>
      <c r="M2" s="131" t="str">
        <f>IF($H2="N","",IF(ISERROR(INDEX('Missing Control Risks'!$A:$R,MATCH($D2,'Missing Control Risks'!$L:$L,0),1)),"N","Y"))</f>
        <v>Y</v>
      </c>
      <c r="N2" s="131" t="str">
        <f t="shared" ref="N2:N33" si="1">IF($H2="N","",IF(ISERROR(INDEX(MissingControlRisks,MATCH($D2,MissingControlID,0),MATCH("Risk ID",MissingControlHeader,0))),"N","Y"))</f>
        <v>Y</v>
      </c>
      <c r="O2" s="131" t="str">
        <f>IF($K2="N","",IF($A2="Compensatory Controls",IF(ISERROR(VLOOKUP($B2,'Compenstory Controls'!G:G,1,FALSE)),"N","Y"),IF(ISERROR(VLOOKUP($B2,'Required Controls'!S:S,1,FALSE)),"N","Y")))</f>
        <v>Y</v>
      </c>
      <c r="Q2" s="18" t="s">
        <v>638</v>
      </c>
      <c r="R2">
        <f>COUNTIF(J:J,"Y")</f>
        <v>0</v>
      </c>
    </row>
    <row r="3" spans="1:18" ht="43.2">
      <c r="A3" s="113" t="s">
        <v>99</v>
      </c>
      <c r="B3" s="114" t="s">
        <v>104</v>
      </c>
      <c r="C3" s="114" t="s">
        <v>105</v>
      </c>
      <c r="D3" s="113" t="s">
        <v>106</v>
      </c>
      <c r="E3" s="115" t="s">
        <v>645</v>
      </c>
      <c r="F3" s="115" t="s">
        <v>645</v>
      </c>
      <c r="G3" s="115" t="s">
        <v>645</v>
      </c>
      <c r="H3" s="115" t="s">
        <v>645</v>
      </c>
      <c r="I3" s="114"/>
      <c r="J3" s="131" t="str">
        <f t="shared" ref="J3:J66" si="2">IF(COUNTIF($D:$D,$D3)=1,"N","Y")</f>
        <v>N</v>
      </c>
      <c r="K3" s="131" t="str">
        <f>IF(ISERROR(VLOOKUP($D3,'General Controls'!$K:$K,1,FALSE)),"N","Y")</f>
        <v>Y</v>
      </c>
      <c r="L3" s="131" t="str">
        <f t="shared" si="0"/>
        <v>Y</v>
      </c>
      <c r="M3" s="131" t="str">
        <f>IF($H3="N","",IF(ISERROR(INDEX('Missing Control Risks'!A:R,MATCH($D3,'Missing Control Risks'!L:L,0),1)),"N","Y"))</f>
        <v>Y</v>
      </c>
      <c r="N3" s="131" t="str">
        <f t="shared" si="1"/>
        <v>Y</v>
      </c>
      <c r="O3" s="131" t="str">
        <f>IF($K3="N","",IF($A3="Compensatory Controls",IF(ISERROR(VLOOKUP($B3,'Compenstory Controls'!G:G,1,FALSE)),"N","Y"),IF(ISERROR(VLOOKUP($B3,'Required Controls'!S:S,1,FALSE)),"N","Y")))</f>
        <v>Y</v>
      </c>
      <c r="Q3" s="18" t="s">
        <v>639</v>
      </c>
      <c r="R3">
        <f>COUNTIFS(K:K,"N",H:H,"Y")</f>
        <v>0</v>
      </c>
    </row>
    <row r="4" spans="1:18" ht="43.2">
      <c r="A4" s="113" t="s">
        <v>99</v>
      </c>
      <c r="B4" s="114" t="s">
        <v>107</v>
      </c>
      <c r="C4" s="114" t="s">
        <v>108</v>
      </c>
      <c r="D4" s="113" t="s">
        <v>109</v>
      </c>
      <c r="E4" s="115" t="s">
        <v>645</v>
      </c>
      <c r="F4" s="115" t="s">
        <v>645</v>
      </c>
      <c r="G4" s="115" t="s">
        <v>645</v>
      </c>
      <c r="H4" s="115" t="s">
        <v>645</v>
      </c>
      <c r="I4" s="114"/>
      <c r="J4" s="131" t="str">
        <f t="shared" si="2"/>
        <v>N</v>
      </c>
      <c r="K4" s="131" t="str">
        <f>IF(ISERROR(VLOOKUP($D4,'General Controls'!$K:$K,1,FALSE)),"N","Y")</f>
        <v>Y</v>
      </c>
      <c r="L4" s="131" t="str">
        <f t="shared" si="0"/>
        <v>Y</v>
      </c>
      <c r="M4" s="131" t="str">
        <f>IF($H4="N","",IF(ISERROR(INDEX('Missing Control Risks'!A:R,MATCH($D4,'Missing Control Risks'!L:L,0),1)),"N","Y"))</f>
        <v>Y</v>
      </c>
      <c r="N4" s="131" t="str">
        <f t="shared" si="1"/>
        <v>Y</v>
      </c>
      <c r="O4" s="131" t="str">
        <f>IF($K4="N","",IF($A4="Compensatory Controls",IF(ISERROR(VLOOKUP($B4,'Compenstory Controls'!G:G,1,FALSE)),"N","Y"),IF(ISERROR(VLOOKUP($B4,'Required Controls'!S:S,1,FALSE)),"N","Y")))</f>
        <v>Y</v>
      </c>
      <c r="Q4" s="18" t="s">
        <v>640</v>
      </c>
      <c r="R4">
        <f>COUNTIF(L:L,"N")</f>
        <v>1</v>
      </c>
    </row>
    <row r="5" spans="1:18" ht="28.8">
      <c r="A5" s="113" t="s">
        <v>99</v>
      </c>
      <c r="B5" s="114" t="s">
        <v>110</v>
      </c>
      <c r="C5" s="114" t="s">
        <v>111</v>
      </c>
      <c r="D5" s="113" t="s">
        <v>112</v>
      </c>
      <c r="E5" s="115" t="s">
        <v>645</v>
      </c>
      <c r="F5" s="115" t="s">
        <v>645</v>
      </c>
      <c r="G5" s="115" t="s">
        <v>645</v>
      </c>
      <c r="H5" s="115" t="s">
        <v>645</v>
      </c>
      <c r="I5" s="114"/>
      <c r="J5" s="131" t="str">
        <f t="shared" si="2"/>
        <v>N</v>
      </c>
      <c r="K5" s="131" t="str">
        <f>IF(ISERROR(VLOOKUP($D5,'General Controls'!$K:$K,1,FALSE)),"N","Y")</f>
        <v>Y</v>
      </c>
      <c r="L5" s="131" t="str">
        <f t="shared" si="0"/>
        <v>Y</v>
      </c>
      <c r="M5" s="131" t="str">
        <f>IF($H5="N","",IF(ISERROR(INDEX('Missing Control Risks'!A:R,MATCH($D5,'Missing Control Risks'!L:L,0),1)),"N","Y"))</f>
        <v>Y</v>
      </c>
      <c r="N5" s="131" t="str">
        <f t="shared" si="1"/>
        <v>Y</v>
      </c>
      <c r="O5" s="131" t="str">
        <f>IF($K5="N","",IF($A5="Compensatory Controls",IF(ISERROR(VLOOKUP($B5,'Compenstory Controls'!G:G,1,FALSE)),"N","Y"),IF(ISERROR(VLOOKUP($B5,'Required Controls'!S:S,1,FALSE)),"N","Y")))</f>
        <v>Y</v>
      </c>
      <c r="Q5" s="18" t="s">
        <v>641</v>
      </c>
      <c r="R5">
        <f>COUNTIF(M:M,"N")</f>
        <v>0</v>
      </c>
    </row>
    <row r="6" spans="1:18" ht="57.6">
      <c r="A6" s="113" t="s">
        <v>99</v>
      </c>
      <c r="B6" s="114" t="s">
        <v>113</v>
      </c>
      <c r="C6" s="114" t="s">
        <v>114</v>
      </c>
      <c r="D6" s="113" t="s">
        <v>115</v>
      </c>
      <c r="E6" s="115" t="s">
        <v>645</v>
      </c>
      <c r="F6" s="115" t="s">
        <v>645</v>
      </c>
      <c r="G6" s="115" t="s">
        <v>645</v>
      </c>
      <c r="H6" s="115" t="s">
        <v>645</v>
      </c>
      <c r="I6" s="114"/>
      <c r="J6" s="131" t="str">
        <f t="shared" si="2"/>
        <v>N</v>
      </c>
      <c r="K6" s="131" t="str">
        <f>IF(ISERROR(VLOOKUP($D6,'General Controls'!$K:$K,1,FALSE)),"N","Y")</f>
        <v>Y</v>
      </c>
      <c r="L6" s="131" t="str">
        <f t="shared" si="0"/>
        <v>Y</v>
      </c>
      <c r="M6" s="131" t="str">
        <f>IF($H6="N","",IF(ISERROR(INDEX('Missing Control Risks'!A:R,MATCH($D6,'Missing Control Risks'!L:L,0),1)),"N","Y"))</f>
        <v>Y</v>
      </c>
      <c r="N6" s="131" t="str">
        <f t="shared" si="1"/>
        <v>Y</v>
      </c>
      <c r="O6" s="131" t="str">
        <f>IF($K6="N","",IF($A6="Compensatory Controls",IF(ISERROR(VLOOKUP($B6,'Compenstory Controls'!G:G,1,FALSE)),"N","Y"),IF(ISERROR(VLOOKUP($B6,'Required Controls'!S:S,1,FALSE)),"N","Y")))</f>
        <v>Y</v>
      </c>
      <c r="Q6" s="18" t="s">
        <v>642</v>
      </c>
      <c r="R6">
        <f>COUNTIF(N:N,"N")</f>
        <v>0</v>
      </c>
    </row>
    <row r="7" spans="1:18" ht="57.6">
      <c r="A7" s="113" t="s">
        <v>99</v>
      </c>
      <c r="B7" s="114" t="s">
        <v>116</v>
      </c>
      <c r="C7" s="114" t="s">
        <v>117</v>
      </c>
      <c r="D7" s="113" t="s">
        <v>118</v>
      </c>
      <c r="E7" s="115" t="s">
        <v>645</v>
      </c>
      <c r="F7" s="115" t="s">
        <v>645</v>
      </c>
      <c r="G7" s="115" t="s">
        <v>645</v>
      </c>
      <c r="H7" s="115" t="s">
        <v>645</v>
      </c>
      <c r="I7" s="114"/>
      <c r="J7" s="131" t="str">
        <f t="shared" si="2"/>
        <v>N</v>
      </c>
      <c r="K7" s="131" t="str">
        <f>IF(ISERROR(VLOOKUP($D7,'General Controls'!$K:$K,1,FALSE)),"N","Y")</f>
        <v>Y</v>
      </c>
      <c r="L7" s="131" t="str">
        <f t="shared" si="0"/>
        <v>Y</v>
      </c>
      <c r="M7" s="131" t="str">
        <f>IF($H7="N","",IF(ISERROR(INDEX('Missing Control Risks'!A:R,MATCH($D7,'Missing Control Risks'!L:L,0),1)),"N","Y"))</f>
        <v>Y</v>
      </c>
      <c r="N7" s="131" t="str">
        <f t="shared" si="1"/>
        <v>Y</v>
      </c>
      <c r="O7" s="131" t="str">
        <f>IF($K7="N","",IF($A7="Compensatory Controls",IF(ISERROR(VLOOKUP($B7,'Compenstory Controls'!G:G,1,FALSE)),"N","Y"),IF(ISERROR(VLOOKUP($B7,'Required Controls'!S:S,1,FALSE)),"N","Y")))</f>
        <v>Y</v>
      </c>
      <c r="Q7" s="18" t="s">
        <v>643</v>
      </c>
      <c r="R7">
        <f>COUNTIF(O:O,"N")</f>
        <v>0</v>
      </c>
    </row>
    <row r="8" spans="1:18" ht="57.6">
      <c r="A8" s="113" t="s">
        <v>99</v>
      </c>
      <c r="B8" s="114" t="s">
        <v>119</v>
      </c>
      <c r="C8" s="114" t="s">
        <v>120</v>
      </c>
      <c r="D8" s="113" t="s">
        <v>121</v>
      </c>
      <c r="E8" s="115" t="s">
        <v>645</v>
      </c>
      <c r="F8" s="115" t="s">
        <v>645</v>
      </c>
      <c r="G8" s="115" t="s">
        <v>645</v>
      </c>
      <c r="H8" s="115" t="s">
        <v>645</v>
      </c>
      <c r="I8" s="114"/>
      <c r="J8" s="131" t="str">
        <f t="shared" si="2"/>
        <v>N</v>
      </c>
      <c r="K8" s="131" t="str">
        <f>IF(ISERROR(VLOOKUP($D8,'General Controls'!$K:$K,1,FALSE)),"N","Y")</f>
        <v>Y</v>
      </c>
      <c r="L8" s="131" t="str">
        <f t="shared" si="0"/>
        <v>Y</v>
      </c>
      <c r="M8" s="131" t="str">
        <f>IF($H8="N","",IF(ISERROR(INDEX('Missing Control Risks'!A:R,MATCH($D8,'Missing Control Risks'!L:L,0),1)),"N","Y"))</f>
        <v>Y</v>
      </c>
      <c r="N8" s="131" t="str">
        <f t="shared" si="1"/>
        <v>Y</v>
      </c>
      <c r="O8" s="131" t="str">
        <f>IF($K8="N","",IF($A8="Compensatory Controls",IF(ISERROR(VLOOKUP($B8,'Compenstory Controls'!G:G,1,FALSE)),"N","Y"),IF(ISERROR(VLOOKUP($B8,'Required Controls'!S:S,1,FALSE)),"N","Y")))</f>
        <v>Y</v>
      </c>
    </row>
    <row r="9" spans="1:18" ht="43.2">
      <c r="A9" s="113" t="s">
        <v>99</v>
      </c>
      <c r="B9" s="114" t="s">
        <v>122</v>
      </c>
      <c r="C9" s="114" t="s">
        <v>646</v>
      </c>
      <c r="D9" s="113" t="s">
        <v>124</v>
      </c>
      <c r="E9" s="115" t="s">
        <v>645</v>
      </c>
      <c r="F9" s="115" t="s">
        <v>645</v>
      </c>
      <c r="G9" s="115" t="s">
        <v>645</v>
      </c>
      <c r="H9" s="115" t="s">
        <v>645</v>
      </c>
      <c r="I9" s="114"/>
      <c r="J9" s="131" t="str">
        <f t="shared" si="2"/>
        <v>N</v>
      </c>
      <c r="K9" s="131" t="str">
        <f>IF(ISERROR(VLOOKUP($D9,'General Controls'!$K:$K,1,FALSE)),"N","Y")</f>
        <v>Y</v>
      </c>
      <c r="L9" s="131" t="str">
        <f t="shared" si="0"/>
        <v>Y</v>
      </c>
      <c r="M9" s="131" t="str">
        <f>IF($H9="N","",IF(ISERROR(INDEX('Missing Control Risks'!A:R,MATCH($D9,'Missing Control Risks'!L:L,0),1)),"N","Y"))</f>
        <v>Y</v>
      </c>
      <c r="N9" s="131" t="str">
        <f t="shared" si="1"/>
        <v>Y</v>
      </c>
      <c r="O9" s="131" t="str">
        <f>IF($K9="N","",IF($A9="Compensatory Controls",IF(ISERROR(VLOOKUP($B9,'Compenstory Controls'!G:G,1,FALSE)),"N","Y"),IF(ISERROR(VLOOKUP($B9,'Required Controls'!S:S,1,FALSE)),"N","Y")))</f>
        <v>Y</v>
      </c>
    </row>
    <row r="10" spans="1:18" ht="57.6">
      <c r="A10" s="113" t="s">
        <v>125</v>
      </c>
      <c r="B10" s="114" t="s">
        <v>126</v>
      </c>
      <c r="C10" s="114" t="s">
        <v>127</v>
      </c>
      <c r="D10" s="113" t="s">
        <v>128</v>
      </c>
      <c r="E10" s="115" t="s">
        <v>645</v>
      </c>
      <c r="F10" s="115" t="s">
        <v>645</v>
      </c>
      <c r="G10" s="115" t="s">
        <v>645</v>
      </c>
      <c r="H10" s="115" t="s">
        <v>645</v>
      </c>
      <c r="I10" s="114"/>
      <c r="J10" s="131" t="str">
        <f t="shared" si="2"/>
        <v>N</v>
      </c>
      <c r="K10" s="131" t="str">
        <f>IF(ISERROR(VLOOKUP($D10,'General Controls'!$K:$K,1,FALSE)),"N","Y")</f>
        <v>Y</v>
      </c>
      <c r="L10" s="131" t="str">
        <f t="shared" si="0"/>
        <v>Y</v>
      </c>
      <c r="M10" s="131" t="str">
        <f>IF($H10="N","",IF(ISERROR(INDEX('Missing Control Risks'!A:R,MATCH($D10,'Missing Control Risks'!L:L,0),1)),"N","Y"))</f>
        <v>Y</v>
      </c>
      <c r="N10" s="131" t="str">
        <f t="shared" si="1"/>
        <v>Y</v>
      </c>
      <c r="O10" s="131" t="str">
        <f>IF($K10="N","",IF($A10="Compensatory Controls",IF(ISERROR(VLOOKUP($B10,'Compenstory Controls'!G:G,1,FALSE)),"N","Y"),IF(ISERROR(VLOOKUP($B10,'Required Controls'!S:S,1,FALSE)),"N","Y")))</f>
        <v>Y</v>
      </c>
    </row>
    <row r="11" spans="1:18" ht="43.2">
      <c r="A11" s="113" t="s">
        <v>125</v>
      </c>
      <c r="B11" s="114" t="s">
        <v>129</v>
      </c>
      <c r="C11" s="114" t="s">
        <v>130</v>
      </c>
      <c r="D11" s="113" t="s">
        <v>131</v>
      </c>
      <c r="E11" s="115" t="s">
        <v>645</v>
      </c>
      <c r="F11" s="115" t="s">
        <v>645</v>
      </c>
      <c r="G11" s="115" t="s">
        <v>645</v>
      </c>
      <c r="H11" s="115" t="s">
        <v>645</v>
      </c>
      <c r="I11" s="114"/>
      <c r="J11" s="131" t="str">
        <f t="shared" si="2"/>
        <v>N</v>
      </c>
      <c r="K11" s="131" t="str">
        <f>IF(ISERROR(VLOOKUP($D11,'General Controls'!$K:$K,1,FALSE)),"N","Y")</f>
        <v>Y</v>
      </c>
      <c r="L11" s="131" t="str">
        <f t="shared" si="0"/>
        <v>Y</v>
      </c>
      <c r="M11" s="131" t="str">
        <f>IF($H11="N","",IF(ISERROR(INDEX('Missing Control Risks'!A:R,MATCH($D11,'Missing Control Risks'!L:L,0),1)),"N","Y"))</f>
        <v>Y</v>
      </c>
      <c r="N11" s="131" t="str">
        <f t="shared" si="1"/>
        <v>Y</v>
      </c>
      <c r="O11" s="131" t="str">
        <f>IF($K11="N","",IF($A11="Compensatory Controls",IF(ISERROR(VLOOKUP($B11,'Compenstory Controls'!G:G,1,FALSE)),"N","Y"),IF(ISERROR(VLOOKUP($B11,'Required Controls'!S:S,1,FALSE)),"N","Y")))</f>
        <v>Y</v>
      </c>
    </row>
    <row r="12" spans="1:18" ht="43.2">
      <c r="A12" s="113" t="s">
        <v>125</v>
      </c>
      <c r="B12" s="114" t="s">
        <v>132</v>
      </c>
      <c r="C12" s="114" t="s">
        <v>133</v>
      </c>
      <c r="D12" s="113" t="s">
        <v>134</v>
      </c>
      <c r="E12" s="115" t="s">
        <v>645</v>
      </c>
      <c r="F12" s="115" t="s">
        <v>645</v>
      </c>
      <c r="G12" s="115" t="s">
        <v>645</v>
      </c>
      <c r="H12" s="115" t="s">
        <v>645</v>
      </c>
      <c r="I12" s="114"/>
      <c r="J12" s="131" t="str">
        <f t="shared" si="2"/>
        <v>N</v>
      </c>
      <c r="K12" s="131" t="str">
        <f>IF(ISERROR(VLOOKUP($D12,'General Controls'!$K:$K,1,FALSE)),"N","Y")</f>
        <v>Y</v>
      </c>
      <c r="L12" s="131" t="str">
        <f t="shared" si="0"/>
        <v>Y</v>
      </c>
      <c r="M12" s="131" t="str">
        <f>IF($H12="N","",IF(ISERROR(INDEX('Missing Control Risks'!A:R,MATCH($D12,'Missing Control Risks'!L:L,0),1)),"N","Y"))</f>
        <v>Y</v>
      </c>
      <c r="N12" s="131" t="str">
        <f t="shared" si="1"/>
        <v>Y</v>
      </c>
      <c r="O12" s="131" t="str">
        <f>IF($K12="N","",IF($A12="Compensatory Controls",IF(ISERROR(VLOOKUP($B12,'Compenstory Controls'!G:G,1,FALSE)),"N","Y"),IF(ISERROR(VLOOKUP($B12,'Required Controls'!S:S,1,FALSE)),"N","Y")))</f>
        <v>Y</v>
      </c>
    </row>
    <row r="13" spans="1:18" ht="43.2">
      <c r="A13" s="113" t="s">
        <v>125</v>
      </c>
      <c r="B13" s="114" t="s">
        <v>135</v>
      </c>
      <c r="C13" s="114" t="s">
        <v>136</v>
      </c>
      <c r="D13" s="113" t="s">
        <v>137</v>
      </c>
      <c r="E13" s="115" t="s">
        <v>645</v>
      </c>
      <c r="F13" s="115" t="s">
        <v>645</v>
      </c>
      <c r="G13" s="115" t="s">
        <v>645</v>
      </c>
      <c r="H13" s="115" t="s">
        <v>645</v>
      </c>
      <c r="I13" s="114"/>
      <c r="J13" s="131" t="str">
        <f t="shared" si="2"/>
        <v>N</v>
      </c>
      <c r="K13" s="131" t="str">
        <f>IF(ISERROR(VLOOKUP($D13,'General Controls'!$K:$K,1,FALSE)),"N","Y")</f>
        <v>Y</v>
      </c>
      <c r="L13" s="131" t="str">
        <f t="shared" si="0"/>
        <v>Y</v>
      </c>
      <c r="M13" s="131" t="str">
        <f>IF($H13="N","",IF(ISERROR(INDEX('Missing Control Risks'!A:R,MATCH($D13,'Missing Control Risks'!L:L,0),1)),"N","Y"))</f>
        <v>Y</v>
      </c>
      <c r="N13" s="131" t="str">
        <f t="shared" si="1"/>
        <v>Y</v>
      </c>
      <c r="O13" s="131" t="str">
        <f>IF($K13="N","",IF($A13="Compensatory Controls",IF(ISERROR(VLOOKUP($B13,'Compenstory Controls'!G:G,1,FALSE)),"N","Y"),IF(ISERROR(VLOOKUP($B13,'Required Controls'!S:S,1,FALSE)),"N","Y")))</f>
        <v>Y</v>
      </c>
    </row>
    <row r="14" spans="1:18" ht="57.6">
      <c r="A14" s="113" t="s">
        <v>125</v>
      </c>
      <c r="B14" s="114" t="s">
        <v>138</v>
      </c>
      <c r="C14" s="114" t="s">
        <v>139</v>
      </c>
      <c r="D14" s="113" t="s">
        <v>140</v>
      </c>
      <c r="E14" s="115" t="s">
        <v>645</v>
      </c>
      <c r="F14" s="115" t="s">
        <v>645</v>
      </c>
      <c r="G14" s="115" t="s">
        <v>645</v>
      </c>
      <c r="H14" s="115" t="s">
        <v>645</v>
      </c>
      <c r="I14" s="114"/>
      <c r="J14" s="131" t="str">
        <f t="shared" si="2"/>
        <v>N</v>
      </c>
      <c r="K14" s="131" t="str">
        <f>IF(ISERROR(VLOOKUP($D14,'General Controls'!$K:$K,1,FALSE)),"N","Y")</f>
        <v>Y</v>
      </c>
      <c r="L14" s="131" t="str">
        <f t="shared" si="0"/>
        <v>Y</v>
      </c>
      <c r="M14" s="131" t="str">
        <f>IF($H14="N","",IF(ISERROR(INDEX('Missing Control Risks'!A:R,MATCH($D14,'Missing Control Risks'!L:L,0),1)),"N","Y"))</f>
        <v>Y</v>
      </c>
      <c r="N14" s="131" t="str">
        <f t="shared" si="1"/>
        <v>Y</v>
      </c>
      <c r="O14" s="131" t="str">
        <f>IF($K14="N","",IF($A14="Compensatory Controls",IF(ISERROR(VLOOKUP($B14,'Compenstory Controls'!G:G,1,FALSE)),"N","Y"),IF(ISERROR(VLOOKUP($B14,'Required Controls'!S:S,1,FALSE)),"N","Y")))</f>
        <v>Y</v>
      </c>
    </row>
    <row r="15" spans="1:18" ht="57.6">
      <c r="A15" s="113" t="s">
        <v>125</v>
      </c>
      <c r="B15" s="114" t="s">
        <v>141</v>
      </c>
      <c r="C15" s="114" t="s">
        <v>142</v>
      </c>
      <c r="D15" s="113" t="s">
        <v>143</v>
      </c>
      <c r="E15" s="115" t="s">
        <v>645</v>
      </c>
      <c r="F15" s="115" t="s">
        <v>645</v>
      </c>
      <c r="G15" s="115" t="s">
        <v>645</v>
      </c>
      <c r="H15" s="115" t="s">
        <v>645</v>
      </c>
      <c r="I15" s="114"/>
      <c r="J15" s="131" t="str">
        <f t="shared" si="2"/>
        <v>N</v>
      </c>
      <c r="K15" s="131" t="str">
        <f>IF(ISERROR(VLOOKUP($D15,'General Controls'!$K:$K,1,FALSE)),"N","Y")</f>
        <v>Y</v>
      </c>
      <c r="L15" s="131" t="str">
        <f t="shared" si="0"/>
        <v>Y</v>
      </c>
      <c r="M15" s="131" t="str">
        <f>IF($H15="N","",IF(ISERROR(INDEX('Missing Control Risks'!A:R,MATCH($D15,'Missing Control Risks'!L:L,0),1)),"N","Y"))</f>
        <v>Y</v>
      </c>
      <c r="N15" s="131" t="str">
        <f t="shared" si="1"/>
        <v>Y</v>
      </c>
      <c r="O15" s="131" t="str">
        <f>IF($K15="N","",IF($A15="Compensatory Controls",IF(ISERROR(VLOOKUP($B15,'Compenstory Controls'!G:G,1,FALSE)),"N","Y"),IF(ISERROR(VLOOKUP($B15,'Required Controls'!S:S,1,FALSE)),"N","Y")))</f>
        <v>Y</v>
      </c>
    </row>
    <row r="16" spans="1:18" ht="57.6">
      <c r="A16" s="113" t="s">
        <v>125</v>
      </c>
      <c r="B16" s="114" t="s">
        <v>144</v>
      </c>
      <c r="C16" s="114" t="s">
        <v>145</v>
      </c>
      <c r="D16" s="113" t="s">
        <v>146</v>
      </c>
      <c r="E16" s="115" t="s">
        <v>645</v>
      </c>
      <c r="F16" s="115" t="s">
        <v>645</v>
      </c>
      <c r="G16" s="115" t="s">
        <v>645</v>
      </c>
      <c r="H16" s="115" t="s">
        <v>645</v>
      </c>
      <c r="I16" s="114"/>
      <c r="J16" s="131" t="str">
        <f t="shared" si="2"/>
        <v>N</v>
      </c>
      <c r="K16" s="131" t="str">
        <f>IF(ISERROR(VLOOKUP($D16,'General Controls'!$K:$K,1,FALSE)),"N","Y")</f>
        <v>Y</v>
      </c>
      <c r="L16" s="131" t="str">
        <f t="shared" si="0"/>
        <v>Y</v>
      </c>
      <c r="M16" s="131" t="str">
        <f>IF($H16="N","",IF(ISERROR(INDEX('Missing Control Risks'!A:R,MATCH($D16,'Missing Control Risks'!L:L,0),1)),"N","Y"))</f>
        <v>Y</v>
      </c>
      <c r="N16" s="131" t="str">
        <f t="shared" si="1"/>
        <v>Y</v>
      </c>
      <c r="O16" s="131" t="str">
        <f>IF($K16="N","",IF($A16="Compensatory Controls",IF(ISERROR(VLOOKUP($B16,'Compenstory Controls'!G:G,1,FALSE)),"N","Y"),IF(ISERROR(VLOOKUP($B16,'Required Controls'!S:S,1,FALSE)),"N","Y")))</f>
        <v>Y</v>
      </c>
    </row>
    <row r="17" spans="1:15" ht="57.6">
      <c r="A17" s="113" t="s">
        <v>125</v>
      </c>
      <c r="B17" s="114" t="s">
        <v>147</v>
      </c>
      <c r="C17" s="114" t="s">
        <v>148</v>
      </c>
      <c r="D17" s="113" t="s">
        <v>149</v>
      </c>
      <c r="E17" s="115" t="s">
        <v>645</v>
      </c>
      <c r="F17" s="115" t="s">
        <v>645</v>
      </c>
      <c r="G17" s="115" t="s">
        <v>645</v>
      </c>
      <c r="H17" s="115" t="s">
        <v>645</v>
      </c>
      <c r="I17" s="114"/>
      <c r="J17" s="131" t="str">
        <f t="shared" si="2"/>
        <v>N</v>
      </c>
      <c r="K17" s="131" t="str">
        <f>IF(ISERROR(VLOOKUP($D17,'General Controls'!$K:$K,1,FALSE)),"N","Y")</f>
        <v>Y</v>
      </c>
      <c r="L17" s="131" t="str">
        <f t="shared" si="0"/>
        <v>Y</v>
      </c>
      <c r="M17" s="131" t="str">
        <f>IF($H17="N","",IF(ISERROR(INDEX('Missing Control Risks'!A:R,MATCH($D17,'Missing Control Risks'!L:L,0),1)),"N","Y"))</f>
        <v>Y</v>
      </c>
      <c r="N17" s="131" t="str">
        <f t="shared" si="1"/>
        <v>Y</v>
      </c>
      <c r="O17" s="131" t="str">
        <f>IF($K17="N","",IF($A17="Compensatory Controls",IF(ISERROR(VLOOKUP($B17,'Compenstory Controls'!G:G,1,FALSE)),"N","Y"),IF(ISERROR(VLOOKUP($B17,'Required Controls'!S:S,1,FALSE)),"N","Y")))</f>
        <v>Y</v>
      </c>
    </row>
    <row r="18" spans="1:15" ht="28.8">
      <c r="A18" s="113" t="s">
        <v>125</v>
      </c>
      <c r="B18" s="114" t="s">
        <v>156</v>
      </c>
      <c r="C18" s="114" t="s">
        <v>157</v>
      </c>
      <c r="D18" s="113" t="s">
        <v>158</v>
      </c>
      <c r="E18" s="115" t="s">
        <v>645</v>
      </c>
      <c r="F18" s="115" t="s">
        <v>645</v>
      </c>
      <c r="G18" s="115" t="s">
        <v>645</v>
      </c>
      <c r="H18" s="115" t="s">
        <v>645</v>
      </c>
      <c r="I18" s="114"/>
      <c r="J18" s="131" t="str">
        <f t="shared" si="2"/>
        <v>N</v>
      </c>
      <c r="K18" s="131" t="str">
        <f>IF(ISERROR(VLOOKUP($D18,'General Controls'!$K:$K,1,FALSE)),"N","Y")</f>
        <v>Y</v>
      </c>
      <c r="L18" s="131" t="str">
        <f t="shared" si="0"/>
        <v>Y</v>
      </c>
      <c r="M18" s="131" t="str">
        <f>IF($H18="N","",IF(ISERROR(INDEX('Missing Control Risks'!A:R,MATCH($D18,'Missing Control Risks'!L:L,0),1)),"N","Y"))</f>
        <v>Y</v>
      </c>
      <c r="N18" s="131" t="str">
        <f t="shared" si="1"/>
        <v>Y</v>
      </c>
      <c r="O18" s="131" t="str">
        <f>IF($K18="N","",IF($A18="Compensatory Controls",IF(ISERROR(VLOOKUP($B18,'Compenstory Controls'!G:G,1,FALSE)),"N","Y"),IF(ISERROR(VLOOKUP($B18,'Required Controls'!S:S,1,FALSE)),"N","Y")))</f>
        <v>Y</v>
      </c>
    </row>
    <row r="19" spans="1:15" ht="28.8">
      <c r="A19" s="113" t="s">
        <v>125</v>
      </c>
      <c r="B19" s="114" t="s">
        <v>159</v>
      </c>
      <c r="C19" s="114" t="s">
        <v>160</v>
      </c>
      <c r="D19" s="113" t="s">
        <v>161</v>
      </c>
      <c r="E19" s="115" t="s">
        <v>645</v>
      </c>
      <c r="F19" s="115" t="s">
        <v>645</v>
      </c>
      <c r="G19" s="115" t="s">
        <v>645</v>
      </c>
      <c r="H19" s="115" t="s">
        <v>645</v>
      </c>
      <c r="I19" s="114"/>
      <c r="J19" s="131" t="str">
        <f t="shared" si="2"/>
        <v>N</v>
      </c>
      <c r="K19" s="131" t="str">
        <f>IF(ISERROR(VLOOKUP($D19,'General Controls'!$K:$K,1,FALSE)),"N","Y")</f>
        <v>Y</v>
      </c>
      <c r="L19" s="131" t="str">
        <f t="shared" si="0"/>
        <v>Y</v>
      </c>
      <c r="M19" s="131" t="str">
        <f>IF($H19="N","",IF(ISERROR(INDEX('Missing Control Risks'!A:R,MATCH($D19,'Missing Control Risks'!L:L,0),1)),"N","Y"))</f>
        <v>Y</v>
      </c>
      <c r="N19" s="131" t="str">
        <f t="shared" si="1"/>
        <v>Y</v>
      </c>
      <c r="O19" s="131" t="str">
        <f>IF($K19="N","",IF($A19="Compensatory Controls",IF(ISERROR(VLOOKUP($B19,'Compenstory Controls'!G:G,1,FALSE)),"N","Y"),IF(ISERROR(VLOOKUP($B19,'Required Controls'!S:S,1,FALSE)),"N","Y")))</f>
        <v>Y</v>
      </c>
    </row>
    <row r="20" spans="1:15" ht="28.8">
      <c r="A20" s="113" t="s">
        <v>125</v>
      </c>
      <c r="B20" s="114" t="s">
        <v>162</v>
      </c>
      <c r="C20" s="114" t="s">
        <v>163</v>
      </c>
      <c r="D20" s="113" t="s">
        <v>164</v>
      </c>
      <c r="E20" s="115" t="s">
        <v>645</v>
      </c>
      <c r="F20" s="115" t="s">
        <v>645</v>
      </c>
      <c r="G20" s="115" t="s">
        <v>645</v>
      </c>
      <c r="H20" s="115" t="s">
        <v>645</v>
      </c>
      <c r="I20" s="114"/>
      <c r="J20" s="131" t="str">
        <f t="shared" si="2"/>
        <v>N</v>
      </c>
      <c r="K20" s="131" t="str">
        <f>IF(ISERROR(VLOOKUP($D20,'General Controls'!$K:$K,1,FALSE)),"N","Y")</f>
        <v>Y</v>
      </c>
      <c r="L20" s="131" t="str">
        <f t="shared" si="0"/>
        <v>Y</v>
      </c>
      <c r="M20" s="131" t="str">
        <f>IF($H20="N","",IF(ISERROR(INDEX('Missing Control Risks'!A:R,MATCH($D20,'Missing Control Risks'!L:L,0),1)),"N","Y"))</f>
        <v>Y</v>
      </c>
      <c r="N20" s="131" t="str">
        <f t="shared" si="1"/>
        <v>Y</v>
      </c>
      <c r="O20" s="131" t="str">
        <f>IF($K20="N","",IF($A20="Compensatory Controls",IF(ISERROR(VLOOKUP($B20,'Compenstory Controls'!G:G,1,FALSE)),"N","Y"),IF(ISERROR(VLOOKUP($B20,'Required Controls'!S:S,1,FALSE)),"N","Y")))</f>
        <v>Y</v>
      </c>
    </row>
    <row r="21" spans="1:15" ht="43.2">
      <c r="A21" s="113" t="s">
        <v>125</v>
      </c>
      <c r="B21" s="114" t="s">
        <v>150</v>
      </c>
      <c r="C21" s="114" t="s">
        <v>151</v>
      </c>
      <c r="D21" s="113" t="s">
        <v>152</v>
      </c>
      <c r="E21" s="115" t="s">
        <v>647</v>
      </c>
      <c r="F21" s="115" t="s">
        <v>647</v>
      </c>
      <c r="G21" s="115" t="s">
        <v>647</v>
      </c>
      <c r="H21" s="115" t="s">
        <v>645</v>
      </c>
      <c r="I21" s="114" t="s">
        <v>648</v>
      </c>
      <c r="J21" s="131" t="str">
        <f t="shared" si="2"/>
        <v>N</v>
      </c>
      <c r="K21" s="131" t="str">
        <f>IF(ISERROR(VLOOKUP($D21,'General Controls'!$K:$K,1,FALSE)),"N","Y")</f>
        <v>Y</v>
      </c>
      <c r="L21" s="131" t="str">
        <f t="shared" si="0"/>
        <v>Y</v>
      </c>
      <c r="M21" s="131" t="str">
        <f>IF($H21="N","",IF(ISERROR(INDEX('Missing Control Risks'!A:R,MATCH($D21,'Missing Control Risks'!L:L,0),1)),"N","Y"))</f>
        <v>Y</v>
      </c>
      <c r="N21" s="131" t="str">
        <f t="shared" si="1"/>
        <v>Y</v>
      </c>
      <c r="O21" s="131" t="str">
        <f>IF($K21="N","",IF($A21="Compensatory Controls",IF(ISERROR(VLOOKUP($B21,'Compenstory Controls'!G:G,1,FALSE)),"N","Y"),IF(ISERROR(VLOOKUP($B21,'Required Controls'!S:S,1,FALSE)),"N","Y")))</f>
        <v>Y</v>
      </c>
    </row>
    <row r="22" spans="1:15" ht="43.2">
      <c r="A22" s="113" t="s">
        <v>125</v>
      </c>
      <c r="B22" s="114" t="s">
        <v>153</v>
      </c>
      <c r="C22" s="114" t="s">
        <v>154</v>
      </c>
      <c r="D22" s="113" t="s">
        <v>155</v>
      </c>
      <c r="E22" s="115" t="s">
        <v>647</v>
      </c>
      <c r="F22" s="115" t="s">
        <v>647</v>
      </c>
      <c r="G22" s="115" t="s">
        <v>647</v>
      </c>
      <c r="H22" s="115" t="s">
        <v>645</v>
      </c>
      <c r="I22" s="114" t="s">
        <v>648</v>
      </c>
      <c r="J22" s="131" t="str">
        <f t="shared" si="2"/>
        <v>N</v>
      </c>
      <c r="K22" s="131" t="str">
        <f>IF(ISERROR(VLOOKUP($D22,'General Controls'!$K:$K,1,FALSE)),"N","Y")</f>
        <v>Y</v>
      </c>
      <c r="L22" s="131" t="str">
        <f t="shared" si="0"/>
        <v>Y</v>
      </c>
      <c r="M22" s="131" t="str">
        <f>IF($H22="N","",IF(ISERROR(INDEX('Missing Control Risks'!A:R,MATCH($D22,'Missing Control Risks'!L:L,0),1)),"N","Y"))</f>
        <v>Y</v>
      </c>
      <c r="N22" s="131" t="str">
        <f t="shared" si="1"/>
        <v>Y</v>
      </c>
      <c r="O22" s="131" t="str">
        <f>IF($K22="N","",IF($A22="Compensatory Controls",IF(ISERROR(VLOOKUP($B22,'Compenstory Controls'!G:G,1,FALSE)),"N","Y"),IF(ISERROR(VLOOKUP($B22,'Required Controls'!S:S,1,FALSE)),"N","Y")))</f>
        <v>Y</v>
      </c>
    </row>
    <row r="23" spans="1:15" ht="43.2">
      <c r="A23" s="113" t="s">
        <v>125</v>
      </c>
      <c r="B23" s="114" t="s">
        <v>165</v>
      </c>
      <c r="C23" s="114" t="s">
        <v>166</v>
      </c>
      <c r="D23" s="113" t="s">
        <v>167</v>
      </c>
      <c r="E23" s="115" t="s">
        <v>647</v>
      </c>
      <c r="F23" s="115" t="s">
        <v>647</v>
      </c>
      <c r="G23" s="115" t="s">
        <v>647</v>
      </c>
      <c r="H23" s="115" t="s">
        <v>645</v>
      </c>
      <c r="I23" s="114" t="s">
        <v>648</v>
      </c>
      <c r="J23" s="131" t="str">
        <f t="shared" si="2"/>
        <v>N</v>
      </c>
      <c r="K23" s="131" t="str">
        <f>IF(ISERROR(VLOOKUP($D23,'General Controls'!$K:$K,1,FALSE)),"N","Y")</f>
        <v>Y</v>
      </c>
      <c r="L23" s="131" t="str">
        <f t="shared" si="0"/>
        <v>Y</v>
      </c>
      <c r="M23" s="131" t="str">
        <f>IF($H23="N","",IF(ISERROR(INDEX('Missing Control Risks'!A:R,MATCH($D23,'Missing Control Risks'!L:L,0),1)),"N","Y"))</f>
        <v>Y</v>
      </c>
      <c r="N23" s="131" t="str">
        <f t="shared" si="1"/>
        <v>Y</v>
      </c>
      <c r="O23" s="131" t="str">
        <f>IF($K23="N","",IF($A23="Compensatory Controls",IF(ISERROR(VLOOKUP($B23,'Compenstory Controls'!G:G,1,FALSE)),"N","Y"),IF(ISERROR(VLOOKUP($B23,'Required Controls'!S:S,1,FALSE)),"N","Y")))</f>
        <v>Y</v>
      </c>
    </row>
    <row r="24" spans="1:15" ht="43.2">
      <c r="A24" s="113" t="s">
        <v>125</v>
      </c>
      <c r="B24" s="114" t="s">
        <v>168</v>
      </c>
      <c r="C24" s="114" t="s">
        <v>169</v>
      </c>
      <c r="D24" s="113" t="s">
        <v>170</v>
      </c>
      <c r="E24" s="115" t="s">
        <v>647</v>
      </c>
      <c r="F24" s="115" t="s">
        <v>647</v>
      </c>
      <c r="G24" s="115" t="s">
        <v>647</v>
      </c>
      <c r="H24" s="115" t="s">
        <v>645</v>
      </c>
      <c r="I24" s="114" t="s">
        <v>648</v>
      </c>
      <c r="J24" s="131" t="str">
        <f t="shared" si="2"/>
        <v>N</v>
      </c>
      <c r="K24" s="131" t="str">
        <f>IF(ISERROR(VLOOKUP($D24,'General Controls'!$K:$K,1,FALSE)),"N","Y")</f>
        <v>Y</v>
      </c>
      <c r="L24" s="131" t="str">
        <f t="shared" si="0"/>
        <v>Y</v>
      </c>
      <c r="M24" s="131" t="str">
        <f>IF($H24="N","",IF(ISERROR(INDEX('Missing Control Risks'!A:R,MATCH($D24,'Missing Control Risks'!L:L,0),1)),"N","Y"))</f>
        <v>Y</v>
      </c>
      <c r="N24" s="131" t="str">
        <f t="shared" si="1"/>
        <v>Y</v>
      </c>
      <c r="O24" s="131" t="str">
        <f>IF($K24="N","",IF($A24="Compensatory Controls",IF(ISERROR(VLOOKUP($B24,'Compenstory Controls'!G:G,1,FALSE)),"N","Y"),IF(ISERROR(VLOOKUP($B24,'Required Controls'!S:S,1,FALSE)),"N","Y")))</f>
        <v>Y</v>
      </c>
    </row>
    <row r="25" spans="1:15" ht="28.8">
      <c r="A25" s="113" t="s">
        <v>336</v>
      </c>
      <c r="B25" s="114" t="s">
        <v>337</v>
      </c>
      <c r="C25" s="114" t="s">
        <v>338</v>
      </c>
      <c r="D25" s="113" t="s">
        <v>339</v>
      </c>
      <c r="E25" s="115" t="s">
        <v>645</v>
      </c>
      <c r="F25" s="115" t="s">
        <v>645</v>
      </c>
      <c r="G25" s="115" t="s">
        <v>645</v>
      </c>
      <c r="H25" s="115" t="s">
        <v>645</v>
      </c>
      <c r="I25" s="114"/>
      <c r="J25" s="131" t="str">
        <f t="shared" si="2"/>
        <v>N</v>
      </c>
      <c r="K25" s="131" t="str">
        <f>IF(ISERROR(VLOOKUP($D25,'General Controls'!$K:$K,1,FALSE)),"N","Y")</f>
        <v>Y</v>
      </c>
      <c r="L25" s="131" t="str">
        <f t="shared" si="0"/>
        <v>Y</v>
      </c>
      <c r="M25" s="131" t="str">
        <f>IF($H25="N","",IF(ISERROR(INDEX('Missing Control Risks'!A:R,MATCH($D25,'Missing Control Risks'!L:L,0),1)),"N","Y"))</f>
        <v>Y</v>
      </c>
      <c r="N25" s="131" t="str">
        <f t="shared" si="1"/>
        <v>Y</v>
      </c>
      <c r="O25" s="131" t="str">
        <f>IF($K25="N","",IF($A25="Compensatory Controls",IF(ISERROR(VLOOKUP($B25,'Compenstory Controls'!G:G,1,FALSE)),"N","Y"),IF(ISERROR(VLOOKUP($B25,'Required Controls'!S:S,1,FALSE)),"N","Y")))</f>
        <v>Y</v>
      </c>
    </row>
    <row r="26" spans="1:15" ht="43.2">
      <c r="A26" s="113" t="s">
        <v>336</v>
      </c>
      <c r="B26" s="114" t="s">
        <v>340</v>
      </c>
      <c r="C26" s="114" t="s">
        <v>341</v>
      </c>
      <c r="D26" s="113" t="s">
        <v>342</v>
      </c>
      <c r="E26" s="115" t="s">
        <v>645</v>
      </c>
      <c r="F26" s="115" t="s">
        <v>645</v>
      </c>
      <c r="G26" s="115" t="s">
        <v>645</v>
      </c>
      <c r="H26" s="115" t="s">
        <v>645</v>
      </c>
      <c r="I26" s="114" t="s">
        <v>649</v>
      </c>
      <c r="J26" s="131" t="str">
        <f t="shared" si="2"/>
        <v>N</v>
      </c>
      <c r="K26" s="131" t="str">
        <f>IF(ISERROR(VLOOKUP($D26,'General Controls'!$K:$K,1,FALSE)),"N","Y")</f>
        <v>Y</v>
      </c>
      <c r="L26" s="131" t="str">
        <f t="shared" si="0"/>
        <v>Y</v>
      </c>
      <c r="M26" s="131" t="str">
        <f>IF($H26="N","",IF(ISERROR(INDEX('Missing Control Risks'!A:R,MATCH($D26,'Missing Control Risks'!L:L,0),1)),"N","Y"))</f>
        <v>Y</v>
      </c>
      <c r="N26" s="131" t="str">
        <f t="shared" si="1"/>
        <v>Y</v>
      </c>
      <c r="O26" s="131" t="str">
        <f>IF($K26="N","",IF($A26="Compensatory Controls",IF(ISERROR(VLOOKUP($B26,'Compenstory Controls'!G:G,1,FALSE)),"N","Y"),IF(ISERROR(VLOOKUP($B26,'Required Controls'!S:S,1,FALSE)),"N","Y")))</f>
        <v>Y</v>
      </c>
    </row>
    <row r="27" spans="1:15" ht="57.6">
      <c r="A27" s="113" t="s">
        <v>336</v>
      </c>
      <c r="B27" s="114" t="s">
        <v>343</v>
      </c>
      <c r="C27" s="114" t="s">
        <v>344</v>
      </c>
      <c r="D27" s="113" t="s">
        <v>345</v>
      </c>
      <c r="E27" s="115" t="s">
        <v>647</v>
      </c>
      <c r="F27" s="115" t="s">
        <v>645</v>
      </c>
      <c r="G27" s="115" t="s">
        <v>645</v>
      </c>
      <c r="H27" s="115" t="s">
        <v>645</v>
      </c>
      <c r="I27" s="114" t="s">
        <v>650</v>
      </c>
      <c r="J27" s="131" t="str">
        <f t="shared" si="2"/>
        <v>N</v>
      </c>
      <c r="K27" s="131" t="str">
        <f>IF(ISERROR(VLOOKUP($D27,'General Controls'!$K:$K,1,FALSE)),"N","Y")</f>
        <v>Y</v>
      </c>
      <c r="L27" s="131" t="str">
        <f t="shared" si="0"/>
        <v>Y</v>
      </c>
      <c r="M27" s="131" t="str">
        <f>IF($H27="N","",IF(ISERROR(INDEX('Missing Control Risks'!A:R,MATCH($D27,'Missing Control Risks'!L:L,0),1)),"N","Y"))</f>
        <v>Y</v>
      </c>
      <c r="N27" s="131" t="str">
        <f t="shared" si="1"/>
        <v>Y</v>
      </c>
      <c r="O27" s="131" t="str">
        <f>IF($K27="N","",IF($A27="Compensatory Controls",IF(ISERROR(VLOOKUP($B27,'Compenstory Controls'!G:G,1,FALSE)),"N","Y"),IF(ISERROR(VLOOKUP($B27,'Required Controls'!S:S,1,FALSE)),"N","Y")))</f>
        <v>Y</v>
      </c>
    </row>
    <row r="28" spans="1:15" ht="57.6">
      <c r="A28" s="113" t="s">
        <v>194</v>
      </c>
      <c r="B28" s="114" t="s">
        <v>195</v>
      </c>
      <c r="C28" s="114" t="s">
        <v>196</v>
      </c>
      <c r="D28" s="113" t="s">
        <v>197</v>
      </c>
      <c r="E28" s="115" t="s">
        <v>645</v>
      </c>
      <c r="F28" s="115" t="s">
        <v>645</v>
      </c>
      <c r="G28" s="115" t="s">
        <v>645</v>
      </c>
      <c r="H28" s="115" t="s">
        <v>645</v>
      </c>
      <c r="I28" s="114" t="s">
        <v>651</v>
      </c>
      <c r="J28" s="131" t="str">
        <f t="shared" si="2"/>
        <v>N</v>
      </c>
      <c r="K28" s="131" t="str">
        <f>IF(ISERROR(VLOOKUP($D28,'General Controls'!$K:$K,1,FALSE)),"N","Y")</f>
        <v>Y</v>
      </c>
      <c r="L28" s="131" t="str">
        <f t="shared" si="0"/>
        <v>Y</v>
      </c>
      <c r="M28" s="131" t="str">
        <f>IF($H28="N","",IF(ISERROR(INDEX('Missing Control Risks'!A:R,MATCH($D28,'Missing Control Risks'!L:L,0),1)),"N","Y"))</f>
        <v>Y</v>
      </c>
      <c r="N28" s="131" t="str">
        <f t="shared" si="1"/>
        <v>Y</v>
      </c>
      <c r="O28" s="131" t="str">
        <f>IF($K28="N","",IF($A28="Compensatory Controls",IF(ISERROR(VLOOKUP($B28,'Compenstory Controls'!G:G,1,FALSE)),"N","Y"),IF(ISERROR(VLOOKUP($B28,'Required Controls'!S:S,1,FALSE)),"N","Y")))</f>
        <v>Y</v>
      </c>
    </row>
    <row r="29" spans="1:15" ht="43.2" hidden="1">
      <c r="A29" s="113" t="s">
        <v>194</v>
      </c>
      <c r="B29" s="114" t="s">
        <v>652</v>
      </c>
      <c r="C29" s="114" t="s">
        <v>653</v>
      </c>
      <c r="D29" s="113" t="s">
        <v>654</v>
      </c>
      <c r="E29" s="115" t="s">
        <v>645</v>
      </c>
      <c r="F29" s="115" t="s">
        <v>645</v>
      </c>
      <c r="G29" s="115" t="s">
        <v>647</v>
      </c>
      <c r="H29" s="115" t="s">
        <v>647</v>
      </c>
      <c r="I29" s="114" t="s">
        <v>655</v>
      </c>
      <c r="J29" s="131" t="str">
        <f t="shared" si="2"/>
        <v>N</v>
      </c>
      <c r="K29" s="131" t="str">
        <f>IF(ISERROR(VLOOKUP($D29,'General Controls'!$K:$K,1,FALSE)),"N","Y")</f>
        <v>N</v>
      </c>
      <c r="L29" s="131" t="str">
        <f t="shared" si="0"/>
        <v/>
      </c>
      <c r="M29" s="131" t="str">
        <f>IF($H29="N","",IF(ISERROR(INDEX('Missing Control Risks'!A:R,MATCH($D29,'Missing Control Risks'!L:L,0),1)),"N","Y"))</f>
        <v/>
      </c>
      <c r="N29" s="131" t="str">
        <f t="shared" si="1"/>
        <v/>
      </c>
      <c r="O29" s="131" t="str">
        <f>IF($K29="N","",IF($A29="Compensatory Controls",IF(ISERROR(VLOOKUP($B29,'Compenstory Controls'!G:G,1,FALSE)),"N","Y"),IF(ISERROR(VLOOKUP($B29,'Required Controls'!S:S,1,FALSE)),"N","Y")))</f>
        <v/>
      </c>
    </row>
    <row r="30" spans="1:15" ht="43.2">
      <c r="A30" s="113" t="s">
        <v>194</v>
      </c>
      <c r="B30" s="114" t="s">
        <v>198</v>
      </c>
      <c r="C30" s="114" t="s">
        <v>199</v>
      </c>
      <c r="D30" s="113" t="s">
        <v>200</v>
      </c>
      <c r="E30" s="115" t="s">
        <v>647</v>
      </c>
      <c r="F30" s="115" t="s">
        <v>647</v>
      </c>
      <c r="G30" s="115" t="s">
        <v>645</v>
      </c>
      <c r="H30" s="115" t="s">
        <v>645</v>
      </c>
      <c r="I30" s="114" t="s">
        <v>656</v>
      </c>
      <c r="J30" s="131" t="str">
        <f t="shared" si="2"/>
        <v>N</v>
      </c>
      <c r="K30" s="131" t="str">
        <f>IF(ISERROR(VLOOKUP($D30,'General Controls'!$K:$K,1,FALSE)),"N","Y")</f>
        <v>Y</v>
      </c>
      <c r="L30" s="131" t="str">
        <f t="shared" si="0"/>
        <v>Y</v>
      </c>
      <c r="M30" s="131" t="str">
        <f>IF($H30="N","",IF(ISERROR(INDEX('Missing Control Risks'!A:R,MATCH($D30,'Missing Control Risks'!L:L,0),1)),"N","Y"))</f>
        <v>Y</v>
      </c>
      <c r="N30" s="131" t="str">
        <f t="shared" si="1"/>
        <v>Y</v>
      </c>
      <c r="O30" s="131" t="str">
        <f>IF($K30="N","",IF($A30="Compensatory Controls",IF(ISERROR(VLOOKUP($B30,'Compenstory Controls'!G:G,1,FALSE)),"N","Y"),IF(ISERROR(VLOOKUP($B30,'Required Controls'!S:S,1,FALSE)),"N","Y")))</f>
        <v>Y</v>
      </c>
    </row>
    <row r="31" spans="1:15" ht="57.6">
      <c r="A31" s="113" t="s">
        <v>194</v>
      </c>
      <c r="B31" s="114" t="s">
        <v>201</v>
      </c>
      <c r="C31" s="114" t="s">
        <v>202</v>
      </c>
      <c r="D31" s="113" t="s">
        <v>203</v>
      </c>
      <c r="E31" s="115" t="s">
        <v>647</v>
      </c>
      <c r="F31" s="115" t="s">
        <v>647</v>
      </c>
      <c r="G31" s="115" t="s">
        <v>645</v>
      </c>
      <c r="H31" s="115" t="s">
        <v>645</v>
      </c>
      <c r="I31" s="114" t="s">
        <v>656</v>
      </c>
      <c r="J31" s="131" t="str">
        <f t="shared" si="2"/>
        <v>N</v>
      </c>
      <c r="K31" s="131" t="str">
        <f>IF(ISERROR(VLOOKUP($D31,'General Controls'!$K:$K,1,FALSE)),"N","Y")</f>
        <v>Y</v>
      </c>
      <c r="L31" s="131" t="str">
        <f t="shared" si="0"/>
        <v>Y</v>
      </c>
      <c r="M31" s="131" t="str">
        <f>IF($H31="N","",IF(ISERROR(INDEX('Missing Control Risks'!A:R,MATCH($D31,'Missing Control Risks'!L:L,0),1)),"N","Y"))</f>
        <v>Y</v>
      </c>
      <c r="N31" s="131" t="str">
        <f t="shared" si="1"/>
        <v>Y</v>
      </c>
      <c r="O31" s="131" t="str">
        <f>IF($K31="N","",IF($A31="Compensatory Controls",IF(ISERROR(VLOOKUP($B31,'Compenstory Controls'!G:G,1,FALSE)),"N","Y"),IF(ISERROR(VLOOKUP($B31,'Required Controls'!S:S,1,FALSE)),"N","Y")))</f>
        <v>Y</v>
      </c>
    </row>
    <row r="32" spans="1:15" ht="43.2">
      <c r="A32" s="113" t="s">
        <v>194</v>
      </c>
      <c r="B32" s="114" t="s">
        <v>204</v>
      </c>
      <c r="C32" s="114" t="s">
        <v>205</v>
      </c>
      <c r="D32" s="113" t="s">
        <v>206</v>
      </c>
      <c r="E32" s="115" t="s">
        <v>647</v>
      </c>
      <c r="F32" s="115" t="s">
        <v>647</v>
      </c>
      <c r="G32" s="115" t="s">
        <v>645</v>
      </c>
      <c r="H32" s="115" t="s">
        <v>645</v>
      </c>
      <c r="I32" s="114" t="s">
        <v>656</v>
      </c>
      <c r="J32" s="131" t="str">
        <f t="shared" si="2"/>
        <v>N</v>
      </c>
      <c r="K32" s="131" t="str">
        <f>IF(ISERROR(VLOOKUP($D32,'General Controls'!$K:$K,1,FALSE)),"N","Y")</f>
        <v>Y</v>
      </c>
      <c r="L32" s="131" t="str">
        <f t="shared" si="0"/>
        <v>Y</v>
      </c>
      <c r="M32" s="131" t="str">
        <f>IF($H32="N","",IF(ISERROR(INDEX('Missing Control Risks'!A:R,MATCH($D32,'Missing Control Risks'!L:L,0),1)),"N","Y"))</f>
        <v>Y</v>
      </c>
      <c r="N32" s="131" t="str">
        <f t="shared" si="1"/>
        <v>Y</v>
      </c>
      <c r="O32" s="131" t="str">
        <f>IF($K32="N","",IF($A32="Compensatory Controls",IF(ISERROR(VLOOKUP($B32,'Compenstory Controls'!G:G,1,FALSE)),"N","Y"),IF(ISERROR(VLOOKUP($B32,'Required Controls'!S:S,1,FALSE)),"N","Y")))</f>
        <v>Y</v>
      </c>
    </row>
    <row r="33" spans="1:15" ht="28.8">
      <c r="A33" s="113" t="s">
        <v>174</v>
      </c>
      <c r="B33" s="114" t="s">
        <v>175</v>
      </c>
      <c r="C33" s="114" t="s">
        <v>176</v>
      </c>
      <c r="D33" s="113" t="s">
        <v>178</v>
      </c>
      <c r="E33" s="115" t="s">
        <v>645</v>
      </c>
      <c r="F33" s="115" t="s">
        <v>645</v>
      </c>
      <c r="G33" s="115" t="s">
        <v>645</v>
      </c>
      <c r="H33" s="115" t="s">
        <v>645</v>
      </c>
      <c r="I33" s="114"/>
      <c r="J33" s="131" t="str">
        <f t="shared" si="2"/>
        <v>N</v>
      </c>
      <c r="K33" s="131" t="str">
        <f>IF(ISERROR(VLOOKUP($D33,'General Controls'!$K:$K,1,FALSE)),"N","Y")</f>
        <v>Y</v>
      </c>
      <c r="L33" s="131" t="str">
        <f t="shared" si="0"/>
        <v>Y</v>
      </c>
      <c r="M33" s="131" t="str">
        <f>IF($H33="N","",IF(ISERROR(INDEX('Missing Control Risks'!A:R,MATCH($D33,'Missing Control Risks'!L:L,0),1)),"N","Y"))</f>
        <v>Y</v>
      </c>
      <c r="N33" s="131" t="str">
        <f t="shared" si="1"/>
        <v>Y</v>
      </c>
      <c r="O33" s="131" t="str">
        <f>IF($K33="N","",IF($A33="Compensatory Controls",IF(ISERROR(VLOOKUP($B33,'Compenstory Controls'!G:G,1,FALSE)),"N","Y"),IF(ISERROR(VLOOKUP($B33,'Required Controls'!S:S,1,FALSE)),"N","Y")))</f>
        <v>Y</v>
      </c>
    </row>
    <row r="34" spans="1:15" ht="43.2">
      <c r="A34" s="113" t="s">
        <v>174</v>
      </c>
      <c r="B34" s="114" t="s">
        <v>179</v>
      </c>
      <c r="C34" s="114" t="s">
        <v>180</v>
      </c>
      <c r="D34" s="113" t="s">
        <v>181</v>
      </c>
      <c r="E34" s="115" t="s">
        <v>645</v>
      </c>
      <c r="F34" s="115" t="s">
        <v>645</v>
      </c>
      <c r="G34" s="115" t="s">
        <v>645</v>
      </c>
      <c r="H34" s="115" t="s">
        <v>645</v>
      </c>
      <c r="I34" s="114" t="s">
        <v>657</v>
      </c>
      <c r="J34" s="131" t="str">
        <f t="shared" si="2"/>
        <v>N</v>
      </c>
      <c r="K34" s="131" t="str">
        <f>IF(ISERROR(VLOOKUP($D34,'General Controls'!$K:$K,1,FALSE)),"N","Y")</f>
        <v>Y</v>
      </c>
      <c r="L34" s="131" t="str">
        <f t="shared" ref="L34:L65" si="3">IF(K34="N","",IF($B34&lt;&gt;INDEX(ControlTable,MATCH($D34,ControlTableID,0),MATCH("Control Name",ControlHeader,0)),"N",IF($C34&lt;&gt;INDEX(ControlTable,MATCH($D34,ControlTableID,0),MATCH("Control Description",ControlHeader,0)),"N","Y")))</f>
        <v>Y</v>
      </c>
      <c r="M34" s="131" t="str">
        <f>IF($H34="N","",IF(ISERROR(INDEX('Missing Control Risks'!A:R,MATCH($D34,'Missing Control Risks'!L:L,0),1)),"N","Y"))</f>
        <v>Y</v>
      </c>
      <c r="N34" s="131" t="str">
        <f t="shared" ref="N34:N65" si="4">IF($H34="N","",IF(ISERROR(INDEX(MissingControlRisks,MATCH($D34,MissingControlID,0),MATCH("Risk ID",MissingControlHeader,0))),"N","Y"))</f>
        <v>Y</v>
      </c>
      <c r="O34" s="131" t="str">
        <f>IF($K34="N","",IF($A34="Compensatory Controls",IF(ISERROR(VLOOKUP($B34,'Compenstory Controls'!G:G,1,FALSE)),"N","Y"),IF(ISERROR(VLOOKUP($B34,'Required Controls'!S:S,1,FALSE)),"N","Y")))</f>
        <v>Y</v>
      </c>
    </row>
    <row r="35" spans="1:15" ht="72">
      <c r="A35" s="113" t="s">
        <v>174</v>
      </c>
      <c r="B35" s="114" t="s">
        <v>185</v>
      </c>
      <c r="C35" s="114" t="s">
        <v>186</v>
      </c>
      <c r="D35" s="113" t="s">
        <v>187</v>
      </c>
      <c r="E35" s="115" t="s">
        <v>645</v>
      </c>
      <c r="F35" s="115" t="s">
        <v>645</v>
      </c>
      <c r="G35" s="115" t="s">
        <v>645</v>
      </c>
      <c r="H35" s="115" t="s">
        <v>645</v>
      </c>
      <c r="I35" s="114"/>
      <c r="J35" s="131" t="str">
        <f t="shared" si="2"/>
        <v>N</v>
      </c>
      <c r="K35" s="131" t="str">
        <f>IF(ISERROR(VLOOKUP($D35,'General Controls'!$K:$K,1,FALSE)),"N","Y")</f>
        <v>Y</v>
      </c>
      <c r="L35" s="131" t="str">
        <f t="shared" si="3"/>
        <v>Y</v>
      </c>
      <c r="M35" s="131" t="str">
        <f>IF($H35="N","",IF(ISERROR(INDEX('Missing Control Risks'!A:R,MATCH($D35,'Missing Control Risks'!L:L,0),1)),"N","Y"))</f>
        <v>Y</v>
      </c>
      <c r="N35" s="131" t="str">
        <f t="shared" si="4"/>
        <v>Y</v>
      </c>
      <c r="O35" s="131" t="str">
        <f>IF($K35="N","",IF($A35="Compensatory Controls",IF(ISERROR(VLOOKUP($B35,'Compenstory Controls'!G:G,1,FALSE)),"N","Y"),IF(ISERROR(VLOOKUP($B35,'Required Controls'!S:S,1,FALSE)),"N","Y")))</f>
        <v>Y</v>
      </c>
    </row>
    <row r="36" spans="1:15" ht="43.2">
      <c r="A36" s="113" t="s">
        <v>174</v>
      </c>
      <c r="B36" s="114" t="s">
        <v>182</v>
      </c>
      <c r="C36" s="114" t="s">
        <v>183</v>
      </c>
      <c r="D36" s="113" t="s">
        <v>184</v>
      </c>
      <c r="E36" s="115" t="s">
        <v>645</v>
      </c>
      <c r="F36" s="115" t="s">
        <v>645</v>
      </c>
      <c r="G36" s="115" t="s">
        <v>645</v>
      </c>
      <c r="H36" s="115" t="s">
        <v>645</v>
      </c>
      <c r="I36" s="114"/>
      <c r="J36" s="131" t="str">
        <f t="shared" si="2"/>
        <v>N</v>
      </c>
      <c r="K36" s="131" t="str">
        <f>IF(ISERROR(VLOOKUP($D36,'General Controls'!$K:$K,1,FALSE)),"N","Y")</f>
        <v>Y</v>
      </c>
      <c r="L36" s="131" t="str">
        <f t="shared" si="3"/>
        <v>Y</v>
      </c>
      <c r="M36" s="131" t="str">
        <f>IF($H36="N","",IF(ISERROR(INDEX('Missing Control Risks'!A:R,MATCH($D36,'Missing Control Risks'!L:L,0),1)),"N","Y"))</f>
        <v>Y</v>
      </c>
      <c r="N36" s="131" t="str">
        <f t="shared" si="4"/>
        <v>Y</v>
      </c>
      <c r="O36" s="131" t="str">
        <f>IF($K36="N","",IF($A36="Compensatory Controls",IF(ISERROR(VLOOKUP($B36,'Compenstory Controls'!G:G,1,FALSE)),"N","Y"),IF(ISERROR(VLOOKUP($B36,'Required Controls'!S:S,1,FALSE)),"N","Y")))</f>
        <v>Y</v>
      </c>
    </row>
    <row r="37" spans="1:15" ht="28.8">
      <c r="A37" s="113" t="s">
        <v>174</v>
      </c>
      <c r="B37" s="114" t="s">
        <v>188</v>
      </c>
      <c r="C37" s="114" t="s">
        <v>189</v>
      </c>
      <c r="D37" s="113" t="s">
        <v>190</v>
      </c>
      <c r="E37" s="115" t="s">
        <v>645</v>
      </c>
      <c r="F37" s="115" t="s">
        <v>645</v>
      </c>
      <c r="G37" s="115" t="s">
        <v>645</v>
      </c>
      <c r="H37" s="115" t="s">
        <v>645</v>
      </c>
      <c r="I37" s="114"/>
      <c r="J37" s="131" t="str">
        <f t="shared" si="2"/>
        <v>N</v>
      </c>
      <c r="K37" s="131" t="str">
        <f>IF(ISERROR(VLOOKUP($D37,'General Controls'!$K:$K,1,FALSE)),"N","Y")</f>
        <v>Y</v>
      </c>
      <c r="L37" s="131" t="str">
        <f t="shared" si="3"/>
        <v>Y</v>
      </c>
      <c r="M37" s="131" t="str">
        <f>IF($H37="N","",IF(ISERROR(INDEX('Missing Control Risks'!A:R,MATCH($D37,'Missing Control Risks'!L:L,0),1)),"N","Y"))</f>
        <v>Y</v>
      </c>
      <c r="N37" s="131" t="str">
        <f t="shared" si="4"/>
        <v>Y</v>
      </c>
      <c r="O37" s="131" t="str">
        <f>IF($K37="N","",IF($A37="Compensatory Controls",IF(ISERROR(VLOOKUP($B37,'Compenstory Controls'!G:G,1,FALSE)),"N","Y"),IF(ISERROR(VLOOKUP($B37,'Required Controls'!S:S,1,FALSE)),"N","Y")))</f>
        <v>Y</v>
      </c>
    </row>
    <row r="38" spans="1:15" ht="57.6">
      <c r="A38" s="113" t="s">
        <v>174</v>
      </c>
      <c r="B38" s="114" t="s">
        <v>191</v>
      </c>
      <c r="C38" s="114" t="s">
        <v>192</v>
      </c>
      <c r="D38" s="113" t="s">
        <v>193</v>
      </c>
      <c r="E38" s="115" t="s">
        <v>645</v>
      </c>
      <c r="F38" s="115" t="s">
        <v>645</v>
      </c>
      <c r="G38" s="115" t="s">
        <v>645</v>
      </c>
      <c r="H38" s="115" t="s">
        <v>645</v>
      </c>
      <c r="I38" s="114"/>
      <c r="J38" s="131" t="str">
        <f t="shared" si="2"/>
        <v>N</v>
      </c>
      <c r="K38" s="131" t="str">
        <f>IF(ISERROR(VLOOKUP($D38,'General Controls'!$K:$K,1,FALSE)),"N","Y")</f>
        <v>Y</v>
      </c>
      <c r="L38" s="131" t="str">
        <f t="shared" si="3"/>
        <v>Y</v>
      </c>
      <c r="M38" s="131" t="str">
        <f>IF($H38="N","",IF(ISERROR(INDEX('Missing Control Risks'!A:R,MATCH($D38,'Missing Control Risks'!L:L,0),1)),"N","Y"))</f>
        <v>Y</v>
      </c>
      <c r="N38" s="131" t="str">
        <f t="shared" si="4"/>
        <v>Y</v>
      </c>
      <c r="O38" s="131" t="str">
        <f>IF($K38="N","",IF($A38="Compensatory Controls",IF(ISERROR(VLOOKUP($B38,'Compenstory Controls'!G:G,1,FALSE)),"N","Y"),IF(ISERROR(VLOOKUP($B38,'Required Controls'!S:S,1,FALSE)),"N","Y")))</f>
        <v>Y</v>
      </c>
    </row>
    <row r="39" spans="1:15" ht="86.4">
      <c r="A39" s="113" t="s">
        <v>207</v>
      </c>
      <c r="B39" s="114" t="s">
        <v>208</v>
      </c>
      <c r="C39" s="114" t="s">
        <v>209</v>
      </c>
      <c r="D39" s="113" t="s">
        <v>211</v>
      </c>
      <c r="E39" s="115" t="s">
        <v>645</v>
      </c>
      <c r="F39" s="115" t="s">
        <v>645</v>
      </c>
      <c r="G39" s="115" t="s">
        <v>645</v>
      </c>
      <c r="H39" s="115" t="s">
        <v>645</v>
      </c>
      <c r="I39" s="114"/>
      <c r="J39" s="131" t="str">
        <f t="shared" si="2"/>
        <v>N</v>
      </c>
      <c r="K39" s="131" t="str">
        <f>IF(ISERROR(VLOOKUP($D39,'General Controls'!$K:$K,1,FALSE)),"N","Y")</f>
        <v>Y</v>
      </c>
      <c r="L39" s="131" t="str">
        <f t="shared" si="3"/>
        <v>Y</v>
      </c>
      <c r="M39" s="131" t="str">
        <f>IF($H39="N","",IF(ISERROR(INDEX('Missing Control Risks'!A:R,MATCH($D39,'Missing Control Risks'!L:L,0),1)),"N","Y"))</f>
        <v>Y</v>
      </c>
      <c r="N39" s="131" t="str">
        <f t="shared" si="4"/>
        <v>Y</v>
      </c>
      <c r="O39" s="131" t="str">
        <f>IF($K39="N","",IF($A39="Compensatory Controls",IF(ISERROR(VLOOKUP($B39,'Compenstory Controls'!G:G,1,FALSE)),"N","Y"),IF(ISERROR(VLOOKUP($B39,'Required Controls'!S:S,1,FALSE)),"N","Y")))</f>
        <v>Y</v>
      </c>
    </row>
    <row r="40" spans="1:15" ht="43.2">
      <c r="A40" s="113" t="s">
        <v>207</v>
      </c>
      <c r="B40" s="114" t="s">
        <v>212</v>
      </c>
      <c r="C40" s="114" t="s">
        <v>213</v>
      </c>
      <c r="D40" s="113" t="s">
        <v>214</v>
      </c>
      <c r="E40" s="115" t="s">
        <v>645</v>
      </c>
      <c r="F40" s="115" t="s">
        <v>645</v>
      </c>
      <c r="G40" s="115" t="s">
        <v>645</v>
      </c>
      <c r="H40" s="115" t="s">
        <v>645</v>
      </c>
      <c r="I40" s="114"/>
      <c r="J40" s="131" t="str">
        <f t="shared" si="2"/>
        <v>N</v>
      </c>
      <c r="K40" s="131" t="str">
        <f>IF(ISERROR(VLOOKUP($D40,'General Controls'!$K:$K,1,FALSE)),"N","Y")</f>
        <v>Y</v>
      </c>
      <c r="L40" s="131" t="str">
        <f t="shared" si="3"/>
        <v>Y</v>
      </c>
      <c r="M40" s="131" t="str">
        <f>IF($H40="N","",IF(ISERROR(INDEX('Missing Control Risks'!A:R,MATCH($D40,'Missing Control Risks'!L:L,0),1)),"N","Y"))</f>
        <v>Y</v>
      </c>
      <c r="N40" s="131" t="str">
        <f t="shared" si="4"/>
        <v>Y</v>
      </c>
      <c r="O40" s="131" t="str">
        <f>IF($K40="N","",IF($A40="Compensatory Controls",IF(ISERROR(VLOOKUP($B40,'Compenstory Controls'!G:G,1,FALSE)),"N","Y"),IF(ISERROR(VLOOKUP($B40,'Required Controls'!S:S,1,FALSE)),"N","Y")))</f>
        <v>Y</v>
      </c>
    </row>
    <row r="41" spans="1:15" ht="28.8">
      <c r="A41" s="113" t="s">
        <v>207</v>
      </c>
      <c r="B41" s="114" t="s">
        <v>215</v>
      </c>
      <c r="C41" s="114" t="s">
        <v>216</v>
      </c>
      <c r="D41" s="113" t="s">
        <v>217</v>
      </c>
      <c r="E41" s="115" t="s">
        <v>645</v>
      </c>
      <c r="F41" s="115" t="s">
        <v>645</v>
      </c>
      <c r="G41" s="115" t="s">
        <v>645</v>
      </c>
      <c r="H41" s="115" t="s">
        <v>645</v>
      </c>
      <c r="I41" s="114"/>
      <c r="J41" s="131" t="str">
        <f t="shared" si="2"/>
        <v>N</v>
      </c>
      <c r="K41" s="131" t="str">
        <f>IF(ISERROR(VLOOKUP($D41,'General Controls'!$K:$K,1,FALSE)),"N","Y")</f>
        <v>Y</v>
      </c>
      <c r="L41" s="131" t="str">
        <f t="shared" si="3"/>
        <v>Y</v>
      </c>
      <c r="M41" s="131" t="str">
        <f>IF($H41="N","",IF(ISERROR(INDEX('Missing Control Risks'!A:R,MATCH($D41,'Missing Control Risks'!L:L,0),1)),"N","Y"))</f>
        <v>Y</v>
      </c>
      <c r="N41" s="131" t="str">
        <f t="shared" si="4"/>
        <v>Y</v>
      </c>
      <c r="O41" s="131" t="str">
        <f>IF($K41="N","",IF($A41="Compensatory Controls",IF(ISERROR(VLOOKUP($B41,'Compenstory Controls'!G:G,1,FALSE)),"N","Y"),IF(ISERROR(VLOOKUP($B41,'Required Controls'!S:S,1,FALSE)),"N","Y")))</f>
        <v>Y</v>
      </c>
    </row>
    <row r="42" spans="1:15" ht="201.6" hidden="1">
      <c r="A42" s="113" t="s">
        <v>207</v>
      </c>
      <c r="B42" s="114" t="s">
        <v>658</v>
      </c>
      <c r="C42" s="114" t="s">
        <v>659</v>
      </c>
      <c r="D42" s="113" t="s">
        <v>660</v>
      </c>
      <c r="E42" s="115" t="s">
        <v>645</v>
      </c>
      <c r="F42" s="115" t="s">
        <v>647</v>
      </c>
      <c r="G42" s="115" t="s">
        <v>647</v>
      </c>
      <c r="H42" s="115" t="s">
        <v>647</v>
      </c>
      <c r="I42" s="114" t="s">
        <v>661</v>
      </c>
      <c r="J42" s="131" t="str">
        <f t="shared" si="2"/>
        <v>N</v>
      </c>
      <c r="K42" s="131" t="str">
        <f>IF(ISERROR(VLOOKUP($D42,'General Controls'!$K:$K,1,FALSE)),"N","Y")</f>
        <v>N</v>
      </c>
      <c r="L42" s="131" t="str">
        <f t="shared" si="3"/>
        <v/>
      </c>
      <c r="M42" s="131" t="str">
        <f>IF($H42="N","",IF(ISERROR(INDEX('Missing Control Risks'!A:R,MATCH($D42,'Missing Control Risks'!L:L,0),1)),"N","Y"))</f>
        <v/>
      </c>
      <c r="N42" s="131" t="str">
        <f t="shared" si="4"/>
        <v/>
      </c>
      <c r="O42" s="131" t="str">
        <f>IF($K42="N","",IF($A42="Compensatory Controls",IF(ISERROR(VLOOKUP($B42,'Compenstory Controls'!G:G,1,FALSE)),"N","Y"),IF(ISERROR(VLOOKUP($B42,'Required Controls'!S:S,1,FALSE)),"N","Y")))</f>
        <v/>
      </c>
    </row>
    <row r="43" spans="1:15" ht="28.8">
      <c r="A43" s="113" t="s">
        <v>71</v>
      </c>
      <c r="B43" s="114" t="s">
        <v>218</v>
      </c>
      <c r="C43" s="114" t="s">
        <v>219</v>
      </c>
      <c r="D43" s="113" t="s">
        <v>221</v>
      </c>
      <c r="E43" s="115" t="s">
        <v>645</v>
      </c>
      <c r="F43" s="115" t="s">
        <v>645</v>
      </c>
      <c r="G43" s="115" t="s">
        <v>645</v>
      </c>
      <c r="H43" s="115" t="s">
        <v>645</v>
      </c>
      <c r="I43" s="114"/>
      <c r="J43" s="131" t="str">
        <f t="shared" si="2"/>
        <v>N</v>
      </c>
      <c r="K43" s="131" t="str">
        <f>IF(ISERROR(VLOOKUP($D43,'General Controls'!$K:$K,1,FALSE)),"N","Y")</f>
        <v>Y</v>
      </c>
      <c r="L43" s="131" t="str">
        <f t="shared" si="3"/>
        <v>Y</v>
      </c>
      <c r="M43" s="131" t="str">
        <f>IF($H43="N","",IF(ISERROR(INDEX('Missing Control Risks'!A:R,MATCH($D43,'Missing Control Risks'!L:L,0),1)),"N","Y"))</f>
        <v>Y</v>
      </c>
      <c r="N43" s="131" t="str">
        <f t="shared" si="4"/>
        <v>Y</v>
      </c>
      <c r="O43" s="131" t="str">
        <f>IF($K43="N","",IF($A43="Compensatory Controls",IF(ISERROR(VLOOKUP($B43,'Compenstory Controls'!G:G,1,FALSE)),"N","Y"),IF(ISERROR(VLOOKUP($B43,'Required Controls'!S:S,1,FALSE)),"N","Y")))</f>
        <v>Y</v>
      </c>
    </row>
    <row r="44" spans="1:15" ht="187.2">
      <c r="A44" s="113" t="s">
        <v>71</v>
      </c>
      <c r="B44" s="114" t="s">
        <v>222</v>
      </c>
      <c r="C44" s="114" t="s">
        <v>223</v>
      </c>
      <c r="D44" s="113" t="s">
        <v>224</v>
      </c>
      <c r="E44" s="115" t="s">
        <v>645</v>
      </c>
      <c r="F44" s="115" t="s">
        <v>645</v>
      </c>
      <c r="G44" s="115" t="s">
        <v>645</v>
      </c>
      <c r="H44" s="115" t="s">
        <v>645</v>
      </c>
      <c r="I44" s="114"/>
      <c r="J44" s="131" t="str">
        <f t="shared" si="2"/>
        <v>N</v>
      </c>
      <c r="K44" s="131" t="str">
        <f>IF(ISERROR(VLOOKUP($D44,'General Controls'!$K:$K,1,FALSE)),"N","Y")</f>
        <v>Y</v>
      </c>
      <c r="L44" s="131" t="str">
        <f t="shared" si="3"/>
        <v>Y</v>
      </c>
      <c r="M44" s="131" t="str">
        <f>IF($H44="N","",IF(ISERROR(INDEX('Missing Control Risks'!A:R,MATCH($D44,'Missing Control Risks'!L:L,0),1)),"N","Y"))</f>
        <v>Y</v>
      </c>
      <c r="N44" s="131" t="str">
        <f t="shared" si="4"/>
        <v>Y</v>
      </c>
      <c r="O44" s="131" t="str">
        <f>IF($K44="N","",IF($A44="Compensatory Controls",IF(ISERROR(VLOOKUP($B44,'Compenstory Controls'!G:G,1,FALSE)),"N","Y"),IF(ISERROR(VLOOKUP($B44,'Required Controls'!S:S,1,FALSE)),"N","Y")))</f>
        <v>Y</v>
      </c>
    </row>
    <row r="45" spans="1:15" ht="57.6">
      <c r="A45" s="113" t="s">
        <v>71</v>
      </c>
      <c r="B45" s="114" t="s">
        <v>225</v>
      </c>
      <c r="C45" s="114" t="s">
        <v>226</v>
      </c>
      <c r="D45" s="113" t="s">
        <v>227</v>
      </c>
      <c r="E45" s="115" t="s">
        <v>645</v>
      </c>
      <c r="F45" s="115" t="s">
        <v>645</v>
      </c>
      <c r="G45" s="115" t="s">
        <v>645</v>
      </c>
      <c r="H45" s="115" t="s">
        <v>645</v>
      </c>
      <c r="I45" s="114"/>
      <c r="J45" s="131" t="str">
        <f t="shared" si="2"/>
        <v>N</v>
      </c>
      <c r="K45" s="131" t="str">
        <f>IF(ISERROR(VLOOKUP($D45,'General Controls'!$K:$K,1,FALSE)),"N","Y")</f>
        <v>Y</v>
      </c>
      <c r="L45" s="131" t="str">
        <f t="shared" si="3"/>
        <v>Y</v>
      </c>
      <c r="M45" s="131" t="str">
        <f>IF($H45="N","",IF(ISERROR(INDEX('Missing Control Risks'!A:R,MATCH($D45,'Missing Control Risks'!L:L,0),1)),"N","Y"))</f>
        <v>Y</v>
      </c>
      <c r="N45" s="131" t="str">
        <f t="shared" si="4"/>
        <v>Y</v>
      </c>
      <c r="O45" s="131" t="str">
        <f>IF($K45="N","",IF($A45="Compensatory Controls",IF(ISERROR(VLOOKUP($B45,'Compenstory Controls'!G:G,1,FALSE)),"N","Y"),IF(ISERROR(VLOOKUP($B45,'Required Controls'!S:S,1,FALSE)),"N","Y")))</f>
        <v>Y</v>
      </c>
    </row>
    <row r="46" spans="1:15" ht="28.8">
      <c r="A46" s="113" t="s">
        <v>71</v>
      </c>
      <c r="B46" s="114" t="s">
        <v>228</v>
      </c>
      <c r="C46" s="114" t="s">
        <v>229</v>
      </c>
      <c r="D46" s="113" t="s">
        <v>230</v>
      </c>
      <c r="E46" s="115" t="s">
        <v>645</v>
      </c>
      <c r="F46" s="115" t="s">
        <v>645</v>
      </c>
      <c r="G46" s="115" t="s">
        <v>645</v>
      </c>
      <c r="H46" s="115" t="s">
        <v>645</v>
      </c>
      <c r="I46" s="114"/>
      <c r="J46" s="131" t="str">
        <f t="shared" si="2"/>
        <v>N</v>
      </c>
      <c r="K46" s="131" t="str">
        <f>IF(ISERROR(VLOOKUP($D46,'General Controls'!$K:$K,1,FALSE)),"N","Y")</f>
        <v>Y</v>
      </c>
      <c r="L46" s="131" t="str">
        <f t="shared" si="3"/>
        <v>Y</v>
      </c>
      <c r="M46" s="131" t="str">
        <f>IF($H46="N","",IF(ISERROR(INDEX('Missing Control Risks'!A:R,MATCH($D46,'Missing Control Risks'!L:L,0),1)),"N","Y"))</f>
        <v>Y</v>
      </c>
      <c r="N46" s="131" t="str">
        <f t="shared" si="4"/>
        <v>Y</v>
      </c>
      <c r="O46" s="131" t="str">
        <f>IF($K46="N","",IF($A46="Compensatory Controls",IF(ISERROR(VLOOKUP($B46,'Compenstory Controls'!G:G,1,FALSE)),"N","Y"),IF(ISERROR(VLOOKUP($B46,'Required Controls'!S:S,1,FALSE)),"N","Y")))</f>
        <v>Y</v>
      </c>
    </row>
    <row r="47" spans="1:15" ht="43.2">
      <c r="A47" s="113" t="s">
        <v>71</v>
      </c>
      <c r="B47" s="114" t="s">
        <v>231</v>
      </c>
      <c r="C47" s="114" t="s">
        <v>232</v>
      </c>
      <c r="D47" s="113" t="s">
        <v>233</v>
      </c>
      <c r="E47" s="115" t="s">
        <v>645</v>
      </c>
      <c r="F47" s="115" t="s">
        <v>645</v>
      </c>
      <c r="G47" s="115" t="s">
        <v>645</v>
      </c>
      <c r="H47" s="115" t="s">
        <v>645</v>
      </c>
      <c r="I47" s="114"/>
      <c r="J47" s="131" t="str">
        <f t="shared" si="2"/>
        <v>N</v>
      </c>
      <c r="K47" s="131" t="str">
        <f>IF(ISERROR(VLOOKUP($D47,'General Controls'!$K:$K,1,FALSE)),"N","Y")</f>
        <v>Y</v>
      </c>
      <c r="L47" s="131" t="str">
        <f t="shared" si="3"/>
        <v>Y</v>
      </c>
      <c r="M47" s="131" t="str">
        <f>IF($H47="N","",IF(ISERROR(INDEX('Missing Control Risks'!A:R,MATCH($D47,'Missing Control Risks'!L:L,0),1)),"N","Y"))</f>
        <v>Y</v>
      </c>
      <c r="N47" s="131" t="str">
        <f t="shared" si="4"/>
        <v>Y</v>
      </c>
      <c r="O47" s="131" t="str">
        <f>IF($K47="N","",IF($A47="Compensatory Controls",IF(ISERROR(VLOOKUP($B47,'Compenstory Controls'!G:G,1,FALSE)),"N","Y"),IF(ISERROR(VLOOKUP($B47,'Required Controls'!S:S,1,FALSE)),"N","Y")))</f>
        <v>Y</v>
      </c>
    </row>
    <row r="48" spans="1:15" ht="86.4">
      <c r="A48" s="113" t="s">
        <v>234</v>
      </c>
      <c r="B48" s="114" t="s">
        <v>235</v>
      </c>
      <c r="C48" s="114" t="s">
        <v>236</v>
      </c>
      <c r="D48" s="113" t="s">
        <v>238</v>
      </c>
      <c r="E48" s="115" t="s">
        <v>645</v>
      </c>
      <c r="F48" s="115" t="s">
        <v>645</v>
      </c>
      <c r="G48" s="115" t="s">
        <v>645</v>
      </c>
      <c r="H48" s="115" t="s">
        <v>645</v>
      </c>
      <c r="I48" s="114"/>
      <c r="J48" s="131" t="str">
        <f t="shared" si="2"/>
        <v>N</v>
      </c>
      <c r="K48" s="131" t="str">
        <f>IF(ISERROR(VLOOKUP($D48,'General Controls'!$K:$K,1,FALSE)),"N","Y")</f>
        <v>Y</v>
      </c>
      <c r="L48" s="131" t="str">
        <f t="shared" si="3"/>
        <v>Y</v>
      </c>
      <c r="M48" s="131" t="str">
        <f>IF($H48="N","",IF(ISERROR(INDEX('Missing Control Risks'!A:R,MATCH($D48,'Missing Control Risks'!L:L,0),1)),"N","Y"))</f>
        <v>Y</v>
      </c>
      <c r="N48" s="131" t="str">
        <f t="shared" si="4"/>
        <v>Y</v>
      </c>
      <c r="O48" s="131" t="str">
        <f>IF($K48="N","",IF($A48="Compensatory Controls",IF(ISERROR(VLOOKUP($B48,'Compenstory Controls'!G:G,1,FALSE)),"N","Y"),IF(ISERROR(VLOOKUP($B48,'Required Controls'!S:S,1,FALSE)),"N","Y")))</f>
        <v>Y</v>
      </c>
    </row>
    <row r="49" spans="1:15" ht="43.2">
      <c r="A49" s="113" t="s">
        <v>234</v>
      </c>
      <c r="B49" s="114" t="s">
        <v>239</v>
      </c>
      <c r="C49" s="114" t="s">
        <v>240</v>
      </c>
      <c r="D49" s="113" t="s">
        <v>241</v>
      </c>
      <c r="E49" s="115" t="s">
        <v>645</v>
      </c>
      <c r="F49" s="115" t="s">
        <v>645</v>
      </c>
      <c r="G49" s="115" t="s">
        <v>645</v>
      </c>
      <c r="H49" s="115" t="s">
        <v>645</v>
      </c>
      <c r="I49" s="114"/>
      <c r="J49" s="131" t="str">
        <f t="shared" si="2"/>
        <v>N</v>
      </c>
      <c r="K49" s="131" t="str">
        <f>IF(ISERROR(VLOOKUP($D49,'General Controls'!$K:$K,1,FALSE)),"N","Y")</f>
        <v>Y</v>
      </c>
      <c r="L49" s="131" t="str">
        <f t="shared" si="3"/>
        <v>Y</v>
      </c>
      <c r="M49" s="131" t="str">
        <f>IF($H49="N","",IF(ISERROR(INDEX('Missing Control Risks'!A:R,MATCH($D49,'Missing Control Risks'!L:L,0),1)),"N","Y"))</f>
        <v>Y</v>
      </c>
      <c r="N49" s="131" t="str">
        <f t="shared" si="4"/>
        <v>Y</v>
      </c>
      <c r="O49" s="131" t="str">
        <f>IF($K49="N","",IF($A49="Compensatory Controls",IF(ISERROR(VLOOKUP($B49,'Compenstory Controls'!G:G,1,FALSE)),"N","Y"),IF(ISERROR(VLOOKUP($B49,'Required Controls'!S:S,1,FALSE)),"N","Y")))</f>
        <v>Y</v>
      </c>
    </row>
    <row r="50" spans="1:15" ht="57.6">
      <c r="A50" s="113" t="s">
        <v>234</v>
      </c>
      <c r="B50" s="114" t="s">
        <v>242</v>
      </c>
      <c r="C50" s="114" t="s">
        <v>243</v>
      </c>
      <c r="D50" s="113" t="s">
        <v>244</v>
      </c>
      <c r="E50" s="115" t="s">
        <v>645</v>
      </c>
      <c r="F50" s="115" t="s">
        <v>645</v>
      </c>
      <c r="G50" s="115" t="s">
        <v>645</v>
      </c>
      <c r="H50" s="115" t="s">
        <v>645</v>
      </c>
      <c r="I50" s="114"/>
      <c r="J50" s="131" t="str">
        <f t="shared" si="2"/>
        <v>N</v>
      </c>
      <c r="K50" s="131" t="str">
        <f>IF(ISERROR(VLOOKUP($D50,'General Controls'!$K:$K,1,FALSE)),"N","Y")</f>
        <v>Y</v>
      </c>
      <c r="L50" s="131" t="str">
        <f t="shared" si="3"/>
        <v>Y</v>
      </c>
      <c r="M50" s="131" t="str">
        <f>IF($H50="N","",IF(ISERROR(INDEX('Missing Control Risks'!A:R,MATCH($D50,'Missing Control Risks'!L:L,0),1)),"N","Y"))</f>
        <v>Y</v>
      </c>
      <c r="N50" s="131" t="str">
        <f t="shared" si="4"/>
        <v>Y</v>
      </c>
      <c r="O50" s="131" t="str">
        <f>IF($K50="N","",IF($A50="Compensatory Controls",IF(ISERROR(VLOOKUP($B50,'Compenstory Controls'!G:G,1,FALSE)),"N","Y"),IF(ISERROR(VLOOKUP($B50,'Required Controls'!S:S,1,FALSE)),"N","Y")))</f>
        <v>Y</v>
      </c>
    </row>
    <row r="51" spans="1:15" ht="100.8">
      <c r="A51" s="113" t="s">
        <v>234</v>
      </c>
      <c r="B51" s="114" t="s">
        <v>245</v>
      </c>
      <c r="C51" s="114" t="s">
        <v>246</v>
      </c>
      <c r="D51" s="113" t="s">
        <v>247</v>
      </c>
      <c r="E51" s="115" t="s">
        <v>645</v>
      </c>
      <c r="F51" s="115" t="s">
        <v>645</v>
      </c>
      <c r="G51" s="115" t="s">
        <v>645</v>
      </c>
      <c r="H51" s="115" t="s">
        <v>645</v>
      </c>
      <c r="I51" s="114"/>
      <c r="J51" s="131" t="str">
        <f t="shared" si="2"/>
        <v>N</v>
      </c>
      <c r="K51" s="131" t="str">
        <f>IF(ISERROR(VLOOKUP($D51,'General Controls'!$K:$K,1,FALSE)),"N","Y")</f>
        <v>Y</v>
      </c>
      <c r="L51" s="131" t="str">
        <f t="shared" si="3"/>
        <v>Y</v>
      </c>
      <c r="M51" s="131" t="str">
        <f>IF($H51="N","",IF(ISERROR(INDEX('Missing Control Risks'!A:R,MATCH($D51,'Missing Control Risks'!L:L,0),1)),"N","Y"))</f>
        <v>Y</v>
      </c>
      <c r="N51" s="131" t="str">
        <f t="shared" si="4"/>
        <v>Y</v>
      </c>
      <c r="O51" s="131" t="str">
        <f>IF($K51="N","",IF($A51="Compensatory Controls",IF(ISERROR(VLOOKUP($B51,'Compenstory Controls'!G:G,1,FALSE)),"N","Y"),IF(ISERROR(VLOOKUP($B51,'Required Controls'!S:S,1,FALSE)),"N","Y")))</f>
        <v>Y</v>
      </c>
    </row>
    <row r="52" spans="1:15" ht="28.8">
      <c r="A52" s="113" t="s">
        <v>234</v>
      </c>
      <c r="B52" s="114" t="s">
        <v>248</v>
      </c>
      <c r="C52" s="114" t="s">
        <v>249</v>
      </c>
      <c r="D52" s="113" t="s">
        <v>250</v>
      </c>
      <c r="E52" s="115" t="s">
        <v>645</v>
      </c>
      <c r="F52" s="115" t="s">
        <v>645</v>
      </c>
      <c r="G52" s="115" t="s">
        <v>645</v>
      </c>
      <c r="H52" s="115" t="s">
        <v>645</v>
      </c>
      <c r="I52" s="114"/>
      <c r="J52" s="131" t="str">
        <f t="shared" si="2"/>
        <v>N</v>
      </c>
      <c r="K52" s="131" t="str">
        <f>IF(ISERROR(VLOOKUP($D52,'General Controls'!$K:$K,1,FALSE)),"N","Y")</f>
        <v>Y</v>
      </c>
      <c r="L52" s="131" t="str">
        <f t="shared" si="3"/>
        <v>Y</v>
      </c>
      <c r="M52" s="131" t="str">
        <f>IF($H52="N","",IF(ISERROR(INDEX('Missing Control Risks'!A:R,MATCH($D52,'Missing Control Risks'!L:L,0),1)),"N","Y"))</f>
        <v>Y</v>
      </c>
      <c r="N52" s="131" t="str">
        <f t="shared" si="4"/>
        <v>Y</v>
      </c>
      <c r="O52" s="131" t="str">
        <f>IF($K52="N","",IF($A52="Compensatory Controls",IF(ISERROR(VLOOKUP($B52,'Compenstory Controls'!G:G,1,FALSE)),"N","Y"),IF(ISERROR(VLOOKUP($B52,'Required Controls'!S:S,1,FALSE)),"N","Y")))</f>
        <v>Y</v>
      </c>
    </row>
    <row r="53" spans="1:15" ht="28.8">
      <c r="A53" s="113" t="s">
        <v>234</v>
      </c>
      <c r="B53" s="114" t="s">
        <v>251</v>
      </c>
      <c r="C53" s="114" t="s">
        <v>252</v>
      </c>
      <c r="D53" s="113" t="s">
        <v>253</v>
      </c>
      <c r="E53" s="115" t="s">
        <v>645</v>
      </c>
      <c r="F53" s="115" t="s">
        <v>645</v>
      </c>
      <c r="G53" s="115" t="s">
        <v>645</v>
      </c>
      <c r="H53" s="115" t="s">
        <v>645</v>
      </c>
      <c r="I53" s="114"/>
      <c r="J53" s="131" t="str">
        <f t="shared" si="2"/>
        <v>N</v>
      </c>
      <c r="K53" s="131" t="str">
        <f>IF(ISERROR(VLOOKUP($D53,'General Controls'!$K:$K,1,FALSE)),"N","Y")</f>
        <v>Y</v>
      </c>
      <c r="L53" s="131" t="str">
        <f t="shared" si="3"/>
        <v>Y</v>
      </c>
      <c r="M53" s="131" t="str">
        <f>IF($H53="N","",IF(ISERROR(INDEX('Missing Control Risks'!A:R,MATCH($D53,'Missing Control Risks'!L:L,0),1)),"N","Y"))</f>
        <v>Y</v>
      </c>
      <c r="N53" s="131" t="str">
        <f t="shared" si="4"/>
        <v>Y</v>
      </c>
      <c r="O53" s="131" t="str">
        <f>IF($K53="N","",IF($A53="Compensatory Controls",IF(ISERROR(VLOOKUP($B53,'Compenstory Controls'!G:G,1,FALSE)),"N","Y"),IF(ISERROR(VLOOKUP($B53,'Required Controls'!S:S,1,FALSE)),"N","Y")))</f>
        <v>Y</v>
      </c>
    </row>
    <row r="54" spans="1:15" ht="57.6">
      <c r="A54" s="113" t="s">
        <v>234</v>
      </c>
      <c r="B54" s="114" t="s">
        <v>254</v>
      </c>
      <c r="C54" s="114" t="s">
        <v>255</v>
      </c>
      <c r="D54" s="113" t="s">
        <v>256</v>
      </c>
      <c r="E54" s="115" t="s">
        <v>645</v>
      </c>
      <c r="F54" s="115" t="s">
        <v>645</v>
      </c>
      <c r="G54" s="115" t="s">
        <v>645</v>
      </c>
      <c r="H54" s="115" t="s">
        <v>645</v>
      </c>
      <c r="I54" s="114"/>
      <c r="J54" s="131" t="str">
        <f t="shared" si="2"/>
        <v>N</v>
      </c>
      <c r="K54" s="131" t="str">
        <f>IF(ISERROR(VLOOKUP($D54,'General Controls'!$K:$K,1,FALSE)),"N","Y")</f>
        <v>Y</v>
      </c>
      <c r="L54" s="131" t="str">
        <f t="shared" si="3"/>
        <v>Y</v>
      </c>
      <c r="M54" s="131" t="str">
        <f>IF($H54="N","",IF(ISERROR(INDEX('Missing Control Risks'!A:R,MATCH($D54,'Missing Control Risks'!L:L,0),1)),"N","Y"))</f>
        <v>Y</v>
      </c>
      <c r="N54" s="131" t="str">
        <f t="shared" si="4"/>
        <v>Y</v>
      </c>
      <c r="O54" s="131" t="str">
        <f>IF($K54="N","",IF($A54="Compensatory Controls",IF(ISERROR(VLOOKUP($B54,'Compenstory Controls'!G:G,1,FALSE)),"N","Y"),IF(ISERROR(VLOOKUP($B54,'Required Controls'!S:S,1,FALSE)),"N","Y")))</f>
        <v>Y</v>
      </c>
    </row>
    <row r="55" spans="1:15" ht="57.6">
      <c r="A55" s="113" t="s">
        <v>257</v>
      </c>
      <c r="B55" s="114" t="s">
        <v>258</v>
      </c>
      <c r="C55" s="114" t="s">
        <v>259</v>
      </c>
      <c r="D55" s="113" t="s">
        <v>260</v>
      </c>
      <c r="E55" s="115" t="s">
        <v>645</v>
      </c>
      <c r="F55" s="115" t="s">
        <v>645</v>
      </c>
      <c r="G55" s="115" t="s">
        <v>645</v>
      </c>
      <c r="H55" s="115" t="s">
        <v>645</v>
      </c>
      <c r="I55" s="114" t="s">
        <v>662</v>
      </c>
      <c r="J55" s="131" t="str">
        <f t="shared" si="2"/>
        <v>N</v>
      </c>
      <c r="K55" s="131" t="str">
        <f>IF(ISERROR(VLOOKUP($D55,'General Controls'!$K:$K,1,FALSE)),"N","Y")</f>
        <v>Y</v>
      </c>
      <c r="L55" s="131" t="str">
        <f t="shared" si="3"/>
        <v>Y</v>
      </c>
      <c r="M55" s="131" t="str">
        <f>IF($H55="N","",IF(ISERROR(INDEX('Missing Control Risks'!A:R,MATCH($D55,'Missing Control Risks'!L:L,0),1)),"N","Y"))</f>
        <v>Y</v>
      </c>
      <c r="N55" s="131" t="str">
        <f t="shared" si="4"/>
        <v>Y</v>
      </c>
      <c r="O55" s="131" t="str">
        <f>IF($K55="N","",IF($A55="Compensatory Controls",IF(ISERROR(VLOOKUP($B55,'Compenstory Controls'!G:G,1,FALSE)),"N","Y"),IF(ISERROR(VLOOKUP($B55,'Required Controls'!S:S,1,FALSE)),"N","Y")))</f>
        <v>Y</v>
      </c>
    </row>
    <row r="56" spans="1:15" ht="86.4">
      <c r="A56" s="113" t="s">
        <v>257</v>
      </c>
      <c r="B56" s="114" t="s">
        <v>261</v>
      </c>
      <c r="C56" s="114" t="s">
        <v>262</v>
      </c>
      <c r="D56" s="113" t="s">
        <v>263</v>
      </c>
      <c r="E56" s="115" t="s">
        <v>645</v>
      </c>
      <c r="F56" s="115" t="s">
        <v>645</v>
      </c>
      <c r="G56" s="115" t="s">
        <v>645</v>
      </c>
      <c r="H56" s="115" t="s">
        <v>645</v>
      </c>
      <c r="I56" s="114" t="s">
        <v>663</v>
      </c>
      <c r="J56" s="131" t="str">
        <f t="shared" si="2"/>
        <v>N</v>
      </c>
      <c r="K56" s="131" t="str">
        <f>IF(ISERROR(VLOOKUP($D56,'General Controls'!$K:$K,1,FALSE)),"N","Y")</f>
        <v>Y</v>
      </c>
      <c r="L56" s="131" t="str">
        <f t="shared" si="3"/>
        <v>Y</v>
      </c>
      <c r="M56" s="131" t="str">
        <f>IF($H56="N","",IF(ISERROR(INDEX('Missing Control Risks'!A:R,MATCH($D56,'Missing Control Risks'!L:L,0),1)),"N","Y"))</f>
        <v>Y</v>
      </c>
      <c r="N56" s="131" t="str">
        <f t="shared" si="4"/>
        <v>Y</v>
      </c>
      <c r="O56" s="131" t="str">
        <f>IF($K56="N","",IF($A56="Compensatory Controls",IF(ISERROR(VLOOKUP($B56,'Compenstory Controls'!G:G,1,FALSE)),"N","Y"),IF(ISERROR(VLOOKUP($B56,'Required Controls'!S:S,1,FALSE)),"N","Y")))</f>
        <v>Y</v>
      </c>
    </row>
    <row r="57" spans="1:15" ht="57.6">
      <c r="A57" s="113" t="s">
        <v>257</v>
      </c>
      <c r="B57" s="114" t="s">
        <v>264</v>
      </c>
      <c r="C57" s="114" t="s">
        <v>265</v>
      </c>
      <c r="D57" s="113" t="s">
        <v>266</v>
      </c>
      <c r="E57" s="115" t="s">
        <v>645</v>
      </c>
      <c r="F57" s="115" t="s">
        <v>645</v>
      </c>
      <c r="G57" s="115" t="s">
        <v>645</v>
      </c>
      <c r="H57" s="115" t="s">
        <v>645</v>
      </c>
      <c r="I57" s="114" t="s">
        <v>664</v>
      </c>
      <c r="J57" s="131" t="str">
        <f t="shared" si="2"/>
        <v>N</v>
      </c>
      <c r="K57" s="131" t="str">
        <f>IF(ISERROR(VLOOKUP($D57,'General Controls'!$K:$K,1,FALSE)),"N","Y")</f>
        <v>Y</v>
      </c>
      <c r="L57" s="131" t="str">
        <f t="shared" si="3"/>
        <v>Y</v>
      </c>
      <c r="M57" s="131" t="str">
        <f>IF($H57="N","",IF(ISERROR(INDEX('Missing Control Risks'!A:R,MATCH($D57,'Missing Control Risks'!L:L,0),1)),"N","Y"))</f>
        <v>Y</v>
      </c>
      <c r="N57" s="131" t="str">
        <f t="shared" si="4"/>
        <v>Y</v>
      </c>
      <c r="O57" s="131" t="str">
        <f>IF($K57="N","",IF($A57="Compensatory Controls",IF(ISERROR(VLOOKUP($B57,'Compenstory Controls'!G:G,1,FALSE)),"N","Y"),IF(ISERROR(VLOOKUP($B57,'Required Controls'!S:S,1,FALSE)),"N","Y")))</f>
        <v>Y</v>
      </c>
    </row>
    <row r="58" spans="1:15" ht="72">
      <c r="A58" s="113" t="s">
        <v>257</v>
      </c>
      <c r="B58" s="114" t="s">
        <v>267</v>
      </c>
      <c r="C58" s="114" t="s">
        <v>268</v>
      </c>
      <c r="D58" s="113" t="s">
        <v>269</v>
      </c>
      <c r="E58" s="115" t="s">
        <v>645</v>
      </c>
      <c r="F58" s="115" t="s">
        <v>645</v>
      </c>
      <c r="G58" s="115" t="s">
        <v>645</v>
      </c>
      <c r="H58" s="115" t="s">
        <v>645</v>
      </c>
      <c r="I58" s="114"/>
      <c r="J58" s="131" t="str">
        <f t="shared" si="2"/>
        <v>N</v>
      </c>
      <c r="K58" s="131" t="str">
        <f>IF(ISERROR(VLOOKUP($D58,'General Controls'!$K:$K,1,FALSE)),"N","Y")</f>
        <v>Y</v>
      </c>
      <c r="L58" s="131" t="str">
        <f t="shared" si="3"/>
        <v>Y</v>
      </c>
      <c r="M58" s="131" t="str">
        <f>IF($H58="N","",IF(ISERROR(INDEX('Missing Control Risks'!A:R,MATCH($D58,'Missing Control Risks'!L:L,0),1)),"N","Y"))</f>
        <v>Y</v>
      </c>
      <c r="N58" s="131" t="str">
        <f t="shared" si="4"/>
        <v>Y</v>
      </c>
      <c r="O58" s="131" t="str">
        <f>IF($K58="N","",IF($A58="Compensatory Controls",IF(ISERROR(VLOOKUP($B58,'Compenstory Controls'!G:G,1,FALSE)),"N","Y"),IF(ISERROR(VLOOKUP($B58,'Required Controls'!S:S,1,FALSE)),"N","Y")))</f>
        <v>Y</v>
      </c>
    </row>
    <row r="59" spans="1:15" ht="43.2">
      <c r="A59" s="113" t="s">
        <v>270</v>
      </c>
      <c r="B59" s="114" t="s">
        <v>271</v>
      </c>
      <c r="C59" s="114" t="s">
        <v>272</v>
      </c>
      <c r="D59" s="113" t="s">
        <v>274</v>
      </c>
      <c r="E59" s="115" t="s">
        <v>645</v>
      </c>
      <c r="F59" s="115" t="s">
        <v>645</v>
      </c>
      <c r="G59" s="115" t="s">
        <v>645</v>
      </c>
      <c r="H59" s="115" t="s">
        <v>645</v>
      </c>
      <c r="I59" s="114"/>
      <c r="J59" s="131" t="str">
        <f t="shared" si="2"/>
        <v>N</v>
      </c>
      <c r="K59" s="131" t="str">
        <f>IF(ISERROR(VLOOKUP($D59,'General Controls'!$K:$K,1,FALSE)),"N","Y")</f>
        <v>Y</v>
      </c>
      <c r="L59" s="131" t="str">
        <f t="shared" si="3"/>
        <v>Y</v>
      </c>
      <c r="M59" s="131" t="str">
        <f>IF($H59="N","",IF(ISERROR(INDEX('Missing Control Risks'!A:R,MATCH($D59,'Missing Control Risks'!L:L,0),1)),"N","Y"))</f>
        <v>Y</v>
      </c>
      <c r="N59" s="131" t="str">
        <f t="shared" si="4"/>
        <v>Y</v>
      </c>
      <c r="O59" s="131" t="str">
        <f>IF($K59="N","",IF($A59="Compensatory Controls",IF(ISERROR(VLOOKUP($B59,'Compenstory Controls'!G:G,1,FALSE)),"N","Y"),IF(ISERROR(VLOOKUP($B59,'Required Controls'!S:S,1,FALSE)),"N","Y")))</f>
        <v>Y</v>
      </c>
    </row>
    <row r="60" spans="1:15" ht="57.6">
      <c r="A60" s="113" t="s">
        <v>270</v>
      </c>
      <c r="B60" s="114" t="s">
        <v>275</v>
      </c>
      <c r="C60" s="114" t="s">
        <v>665</v>
      </c>
      <c r="D60" s="113" t="s">
        <v>277</v>
      </c>
      <c r="E60" s="115" t="s">
        <v>645</v>
      </c>
      <c r="F60" s="115" t="s">
        <v>645</v>
      </c>
      <c r="G60" s="115" t="s">
        <v>645</v>
      </c>
      <c r="H60" s="115" t="s">
        <v>645</v>
      </c>
      <c r="I60" s="114"/>
      <c r="J60" s="131" t="str">
        <f t="shared" si="2"/>
        <v>N</v>
      </c>
      <c r="K60" s="131" t="str">
        <f>IF(ISERROR(VLOOKUP($D60,'General Controls'!$K:$K,1,FALSE)),"N","Y")</f>
        <v>Y</v>
      </c>
      <c r="L60" s="131" t="str">
        <f t="shared" si="3"/>
        <v>N</v>
      </c>
      <c r="M60" s="131" t="str">
        <f>IF($H60="N","",IF(ISERROR(INDEX('Missing Control Risks'!A:R,MATCH($D60,'Missing Control Risks'!L:L,0),1)),"N","Y"))</f>
        <v>Y</v>
      </c>
      <c r="N60" s="131" t="str">
        <f t="shared" si="4"/>
        <v>Y</v>
      </c>
      <c r="O60" s="131" t="str">
        <f>IF($K60="N","",IF($A60="Compensatory Controls",IF(ISERROR(VLOOKUP($B60,'Compenstory Controls'!G:G,1,FALSE)),"N","Y"),IF(ISERROR(VLOOKUP($B60,'Required Controls'!S:S,1,FALSE)),"N","Y")))</f>
        <v>Y</v>
      </c>
    </row>
    <row r="61" spans="1:15" ht="100.8">
      <c r="A61" s="113" t="s">
        <v>278</v>
      </c>
      <c r="B61" s="114" t="s">
        <v>279</v>
      </c>
      <c r="C61" s="114" t="s">
        <v>280</v>
      </c>
      <c r="D61" s="113" t="s">
        <v>281</v>
      </c>
      <c r="E61" s="115" t="s">
        <v>645</v>
      </c>
      <c r="F61" s="115" t="s">
        <v>645</v>
      </c>
      <c r="G61" s="115" t="s">
        <v>645</v>
      </c>
      <c r="H61" s="115" t="s">
        <v>645</v>
      </c>
      <c r="I61" s="114"/>
      <c r="J61" s="131" t="str">
        <f t="shared" si="2"/>
        <v>N</v>
      </c>
      <c r="K61" s="131" t="str">
        <f>IF(ISERROR(VLOOKUP($D61,'General Controls'!$K:$K,1,FALSE)),"N","Y")</f>
        <v>Y</v>
      </c>
      <c r="L61" s="131" t="str">
        <f t="shared" si="3"/>
        <v>Y</v>
      </c>
      <c r="M61" s="131" t="str">
        <f>IF($H61="N","",IF(ISERROR(INDEX('Missing Control Risks'!A:R,MATCH($D61,'Missing Control Risks'!L:L,0),1)),"N","Y"))</f>
        <v>Y</v>
      </c>
      <c r="N61" s="131" t="str">
        <f t="shared" si="4"/>
        <v>Y</v>
      </c>
      <c r="O61" s="131" t="str">
        <f>IF($K61="N","",IF($A61="Compensatory Controls",IF(ISERROR(VLOOKUP($B61,'Compenstory Controls'!G:G,1,FALSE)),"N","Y"),IF(ISERROR(VLOOKUP($B61,'Required Controls'!S:S,1,FALSE)),"N","Y")))</f>
        <v>Y</v>
      </c>
    </row>
    <row r="62" spans="1:15" ht="57.6">
      <c r="A62" s="113" t="s">
        <v>278</v>
      </c>
      <c r="B62" s="114" t="s">
        <v>282</v>
      </c>
      <c r="C62" s="114" t="s">
        <v>283</v>
      </c>
      <c r="D62" s="113" t="s">
        <v>284</v>
      </c>
      <c r="E62" s="115" t="s">
        <v>645</v>
      </c>
      <c r="F62" s="115" t="s">
        <v>645</v>
      </c>
      <c r="G62" s="115" t="s">
        <v>645</v>
      </c>
      <c r="H62" s="115" t="s">
        <v>645</v>
      </c>
      <c r="I62" s="114"/>
      <c r="J62" s="131" t="str">
        <f t="shared" si="2"/>
        <v>N</v>
      </c>
      <c r="K62" s="131" t="str">
        <f>IF(ISERROR(VLOOKUP($D62,'General Controls'!$K:$K,1,FALSE)),"N","Y")</f>
        <v>Y</v>
      </c>
      <c r="L62" s="131" t="str">
        <f t="shared" si="3"/>
        <v>Y</v>
      </c>
      <c r="M62" s="131" t="str">
        <f>IF($H62="N","",IF(ISERROR(INDEX('Missing Control Risks'!A:R,MATCH($D62,'Missing Control Risks'!L:L,0),1)),"N","Y"))</f>
        <v>Y</v>
      </c>
      <c r="N62" s="131" t="str">
        <f t="shared" si="4"/>
        <v>Y</v>
      </c>
      <c r="O62" s="131" t="str">
        <f>IF($K62="N","",IF($A62="Compensatory Controls",IF(ISERROR(VLOOKUP($B62,'Compenstory Controls'!G:G,1,FALSE)),"N","Y"),IF(ISERROR(VLOOKUP($B62,'Required Controls'!S:S,1,FALSE)),"N","Y")))</f>
        <v>Y</v>
      </c>
    </row>
    <row r="63" spans="1:15" ht="57.6">
      <c r="A63" s="113" t="s">
        <v>278</v>
      </c>
      <c r="B63" s="114" t="s">
        <v>285</v>
      </c>
      <c r="C63" s="114" t="s">
        <v>286</v>
      </c>
      <c r="D63" s="113" t="s">
        <v>287</v>
      </c>
      <c r="E63" s="115" t="s">
        <v>645</v>
      </c>
      <c r="F63" s="115" t="s">
        <v>645</v>
      </c>
      <c r="G63" s="115" t="s">
        <v>645</v>
      </c>
      <c r="H63" s="115" t="s">
        <v>645</v>
      </c>
      <c r="I63" s="114"/>
      <c r="J63" s="131" t="str">
        <f t="shared" si="2"/>
        <v>N</v>
      </c>
      <c r="K63" s="131" t="str">
        <f>IF(ISERROR(VLOOKUP($D63,'General Controls'!$K:$K,1,FALSE)),"N","Y")</f>
        <v>Y</v>
      </c>
      <c r="L63" s="131" t="str">
        <f t="shared" si="3"/>
        <v>Y</v>
      </c>
      <c r="M63" s="131" t="str">
        <f>IF($H63="N","",IF(ISERROR(INDEX('Missing Control Risks'!A:R,MATCH($D63,'Missing Control Risks'!L:L,0),1)),"N","Y"))</f>
        <v>Y</v>
      </c>
      <c r="N63" s="131" t="str">
        <f t="shared" si="4"/>
        <v>Y</v>
      </c>
      <c r="O63" s="131" t="str">
        <f>IF($K63="N","",IF($A63="Compensatory Controls",IF(ISERROR(VLOOKUP($B63,'Compenstory Controls'!G:G,1,FALSE)),"N","Y"),IF(ISERROR(VLOOKUP($B63,'Required Controls'!S:S,1,FALSE)),"N","Y")))</f>
        <v>Y</v>
      </c>
    </row>
    <row r="64" spans="1:15" ht="43.2">
      <c r="A64" s="113" t="s">
        <v>278</v>
      </c>
      <c r="B64" s="114" t="s">
        <v>288</v>
      </c>
      <c r="C64" s="114" t="s">
        <v>289</v>
      </c>
      <c r="D64" s="113" t="s">
        <v>290</v>
      </c>
      <c r="E64" s="115" t="s">
        <v>645</v>
      </c>
      <c r="F64" s="115" t="s">
        <v>645</v>
      </c>
      <c r="G64" s="115" t="s">
        <v>645</v>
      </c>
      <c r="H64" s="115" t="s">
        <v>645</v>
      </c>
      <c r="I64" s="114"/>
      <c r="J64" s="131" t="str">
        <f t="shared" si="2"/>
        <v>N</v>
      </c>
      <c r="K64" s="131" t="str">
        <f>IF(ISERROR(VLOOKUP($D64,'General Controls'!$K:$K,1,FALSE)),"N","Y")</f>
        <v>Y</v>
      </c>
      <c r="L64" s="131" t="str">
        <f t="shared" si="3"/>
        <v>Y</v>
      </c>
      <c r="M64" s="131" t="str">
        <f>IF($H64="N","",IF(ISERROR(INDEX('Missing Control Risks'!A:R,MATCH($D64,'Missing Control Risks'!L:L,0),1)),"N","Y"))</f>
        <v>Y</v>
      </c>
      <c r="N64" s="131" t="str">
        <f t="shared" si="4"/>
        <v>Y</v>
      </c>
      <c r="O64" s="131" t="str">
        <f>IF($K64="N","",IF($A64="Compensatory Controls",IF(ISERROR(VLOOKUP($B64,'Compenstory Controls'!G:G,1,FALSE)),"N","Y"),IF(ISERROR(VLOOKUP($B64,'Required Controls'!S:S,1,FALSE)),"N","Y")))</f>
        <v>Y</v>
      </c>
    </row>
    <row r="65" spans="1:15" ht="43.2">
      <c r="A65" s="113" t="s">
        <v>278</v>
      </c>
      <c r="B65" s="114" t="s">
        <v>291</v>
      </c>
      <c r="C65" s="114" t="s">
        <v>292</v>
      </c>
      <c r="D65" s="113" t="s">
        <v>293</v>
      </c>
      <c r="E65" s="115" t="s">
        <v>645</v>
      </c>
      <c r="F65" s="115" t="s">
        <v>645</v>
      </c>
      <c r="G65" s="115" t="s">
        <v>645</v>
      </c>
      <c r="H65" s="115" t="s">
        <v>645</v>
      </c>
      <c r="I65" s="114"/>
      <c r="J65" s="131" t="str">
        <f t="shared" si="2"/>
        <v>N</v>
      </c>
      <c r="K65" s="131" t="str">
        <f>IF(ISERROR(VLOOKUP($D65,'General Controls'!$K:$K,1,FALSE)),"N","Y")</f>
        <v>Y</v>
      </c>
      <c r="L65" s="131" t="str">
        <f t="shared" si="3"/>
        <v>Y</v>
      </c>
      <c r="M65" s="131" t="str">
        <f>IF($H65="N","",IF(ISERROR(INDEX('Missing Control Risks'!A:R,MATCH($D65,'Missing Control Risks'!L:L,0),1)),"N","Y"))</f>
        <v>Y</v>
      </c>
      <c r="N65" s="131" t="str">
        <f t="shared" si="4"/>
        <v>Y</v>
      </c>
      <c r="O65" s="131" t="str">
        <f>IF($K65="N","",IF($A65="Compensatory Controls",IF(ISERROR(VLOOKUP($B65,'Compenstory Controls'!G:G,1,FALSE)),"N","Y"),IF(ISERROR(VLOOKUP($B65,'Required Controls'!S:S,1,FALSE)),"N","Y")))</f>
        <v>Y</v>
      </c>
    </row>
    <row r="66" spans="1:15" ht="57.6">
      <c r="A66" s="113" t="s">
        <v>278</v>
      </c>
      <c r="B66" s="114" t="s">
        <v>294</v>
      </c>
      <c r="C66" s="114" t="s">
        <v>295</v>
      </c>
      <c r="D66" s="113" t="s">
        <v>296</v>
      </c>
      <c r="E66" s="115" t="s">
        <v>645</v>
      </c>
      <c r="F66" s="115" t="s">
        <v>645</v>
      </c>
      <c r="G66" s="115" t="s">
        <v>645</v>
      </c>
      <c r="H66" s="115" t="s">
        <v>645</v>
      </c>
      <c r="I66" s="114"/>
      <c r="J66" s="131" t="str">
        <f t="shared" si="2"/>
        <v>N</v>
      </c>
      <c r="K66" s="131" t="str">
        <f>IF(ISERROR(VLOOKUP($D66,'General Controls'!$K:$K,1,FALSE)),"N","Y")</f>
        <v>Y</v>
      </c>
      <c r="L66" s="131" t="str">
        <f t="shared" ref="L66:L79" si="5">IF(K66="N","",IF($B66&lt;&gt;INDEX(ControlTable,MATCH($D66,ControlTableID,0),MATCH("Control Name",ControlHeader,0)),"N",IF($C66&lt;&gt;INDEX(ControlTable,MATCH($D66,ControlTableID,0),MATCH("Control Description",ControlHeader,0)),"N","Y")))</f>
        <v>Y</v>
      </c>
      <c r="M66" s="131" t="str">
        <f>IF($H66="N","",IF(ISERROR(INDEX('Missing Control Risks'!A:R,MATCH($D66,'Missing Control Risks'!L:L,0),1)),"N","Y"))</f>
        <v>Y</v>
      </c>
      <c r="N66" s="131" t="str">
        <f t="shared" ref="N66:N79" si="6">IF($H66="N","",IF(ISERROR(INDEX(MissingControlRisks,MATCH($D66,MissingControlID,0),MATCH("Risk ID",MissingControlHeader,0))),"N","Y"))</f>
        <v>Y</v>
      </c>
      <c r="O66" s="131" t="str">
        <f>IF($K66="N","",IF($A66="Compensatory Controls",IF(ISERROR(VLOOKUP($B66,'Compenstory Controls'!G:G,1,FALSE)),"N","Y"),IF(ISERROR(VLOOKUP($B66,'Required Controls'!S:S,1,FALSE)),"N","Y")))</f>
        <v>Y</v>
      </c>
    </row>
    <row r="67" spans="1:15" ht="100.8">
      <c r="A67" s="113" t="s">
        <v>278</v>
      </c>
      <c r="B67" s="114" t="s">
        <v>297</v>
      </c>
      <c r="C67" s="114" t="s">
        <v>298</v>
      </c>
      <c r="D67" s="113" t="s">
        <v>299</v>
      </c>
      <c r="E67" s="115" t="s">
        <v>645</v>
      </c>
      <c r="F67" s="115" t="s">
        <v>645</v>
      </c>
      <c r="G67" s="115" t="s">
        <v>645</v>
      </c>
      <c r="H67" s="115" t="s">
        <v>645</v>
      </c>
      <c r="I67" s="114"/>
      <c r="J67" s="131" t="str">
        <f t="shared" ref="J67:J79" si="7">IF(COUNTIF($D:$D,$D67)=1,"N","Y")</f>
        <v>N</v>
      </c>
      <c r="K67" s="131" t="str">
        <f>IF(ISERROR(VLOOKUP($D67,'General Controls'!$K:$K,1,FALSE)),"N","Y")</f>
        <v>Y</v>
      </c>
      <c r="L67" s="131" t="str">
        <f t="shared" si="5"/>
        <v>Y</v>
      </c>
      <c r="M67" s="131" t="str">
        <f>IF($H67="N","",IF(ISERROR(INDEX('Missing Control Risks'!A:R,MATCH($D67,'Missing Control Risks'!L:L,0),1)),"N","Y"))</f>
        <v>Y</v>
      </c>
      <c r="N67" s="131" t="str">
        <f t="shared" si="6"/>
        <v>Y</v>
      </c>
      <c r="O67" s="131" t="str">
        <f>IF($K67="N","",IF($A67="Compensatory Controls",IF(ISERROR(VLOOKUP($B67,'Compenstory Controls'!G:G,1,FALSE)),"N","Y"),IF(ISERROR(VLOOKUP($B67,'Required Controls'!S:S,1,FALSE)),"N","Y")))</f>
        <v>Y</v>
      </c>
    </row>
    <row r="68" spans="1:15" ht="43.2">
      <c r="A68" s="113" t="s">
        <v>278</v>
      </c>
      <c r="B68" s="114" t="s">
        <v>300</v>
      </c>
      <c r="C68" s="114" t="s">
        <v>301</v>
      </c>
      <c r="D68" s="113" t="s">
        <v>302</v>
      </c>
      <c r="E68" s="115" t="s">
        <v>645</v>
      </c>
      <c r="F68" s="115" t="s">
        <v>645</v>
      </c>
      <c r="G68" s="115" t="s">
        <v>645</v>
      </c>
      <c r="H68" s="115" t="s">
        <v>645</v>
      </c>
      <c r="I68" s="114"/>
      <c r="J68" s="131" t="str">
        <f t="shared" si="7"/>
        <v>N</v>
      </c>
      <c r="K68" s="131" t="str">
        <f>IF(ISERROR(VLOOKUP($D68,'General Controls'!$K:$K,1,FALSE)),"N","Y")</f>
        <v>Y</v>
      </c>
      <c r="L68" s="131" t="str">
        <f t="shared" si="5"/>
        <v>Y</v>
      </c>
      <c r="M68" s="131" t="str">
        <f>IF($H68="N","",IF(ISERROR(INDEX('Missing Control Risks'!A:R,MATCH($D68,'Missing Control Risks'!L:L,0),1)),"N","Y"))</f>
        <v>Y</v>
      </c>
      <c r="N68" s="131" t="str">
        <f t="shared" si="6"/>
        <v>Y</v>
      </c>
      <c r="O68" s="131" t="str">
        <f>IF($K68="N","",IF($A68="Compensatory Controls",IF(ISERROR(VLOOKUP($B68,'Compenstory Controls'!G:G,1,FALSE)),"N","Y"),IF(ISERROR(VLOOKUP($B68,'Required Controls'!S:S,1,FALSE)),"N","Y")))</f>
        <v>Y</v>
      </c>
    </row>
    <row r="69" spans="1:15" ht="43.2">
      <c r="A69" s="113" t="s">
        <v>278</v>
      </c>
      <c r="B69" s="114" t="s">
        <v>303</v>
      </c>
      <c r="C69" s="114" t="s">
        <v>304</v>
      </c>
      <c r="D69" s="113" t="s">
        <v>305</v>
      </c>
      <c r="E69" s="115" t="s">
        <v>645</v>
      </c>
      <c r="F69" s="115" t="s">
        <v>645</v>
      </c>
      <c r="G69" s="115" t="s">
        <v>645</v>
      </c>
      <c r="H69" s="115" t="s">
        <v>645</v>
      </c>
      <c r="I69" s="114"/>
      <c r="J69" s="131" t="str">
        <f t="shared" si="7"/>
        <v>N</v>
      </c>
      <c r="K69" s="131" t="str">
        <f>IF(ISERROR(VLOOKUP($D69,'General Controls'!$K:$K,1,FALSE)),"N","Y")</f>
        <v>Y</v>
      </c>
      <c r="L69" s="131" t="str">
        <f t="shared" si="5"/>
        <v>Y</v>
      </c>
      <c r="M69" s="131" t="str">
        <f>IF($H69="N","",IF(ISERROR(INDEX('Missing Control Risks'!A:R,MATCH($D69,'Missing Control Risks'!L:L,0),1)),"N","Y"))</f>
        <v>Y</v>
      </c>
      <c r="N69" s="131" t="str">
        <f t="shared" si="6"/>
        <v>Y</v>
      </c>
      <c r="O69" s="131" t="str">
        <f>IF($K69="N","",IF($A69="Compensatory Controls",IF(ISERROR(VLOOKUP($B69,'Compenstory Controls'!G:G,1,FALSE)),"N","Y"),IF(ISERROR(VLOOKUP($B69,'Required Controls'!S:S,1,FALSE)),"N","Y")))</f>
        <v>Y</v>
      </c>
    </row>
    <row r="70" spans="1:15" ht="28.8">
      <c r="A70" s="113" t="s">
        <v>306</v>
      </c>
      <c r="B70" s="114" t="s">
        <v>307</v>
      </c>
      <c r="C70" s="114" t="s">
        <v>308</v>
      </c>
      <c r="D70" s="113" t="s">
        <v>310</v>
      </c>
      <c r="E70" s="115" t="s">
        <v>645</v>
      </c>
      <c r="F70" s="115" t="s">
        <v>645</v>
      </c>
      <c r="G70" s="115" t="s">
        <v>645</v>
      </c>
      <c r="H70" s="115" t="s">
        <v>645</v>
      </c>
      <c r="I70" s="114"/>
      <c r="J70" s="131" t="str">
        <f t="shared" si="7"/>
        <v>N</v>
      </c>
      <c r="K70" s="131" t="str">
        <f>IF(ISERROR(VLOOKUP($D70,'General Controls'!$K:$K,1,FALSE)),"N","Y")</f>
        <v>Y</v>
      </c>
      <c r="L70" s="131" t="str">
        <f t="shared" si="5"/>
        <v>Y</v>
      </c>
      <c r="M70" s="131" t="str">
        <f>IF($H70="N","",IF(ISERROR(INDEX('Missing Control Risks'!A:R,MATCH($D70,'Missing Control Risks'!L:L,0),1)),"N","Y"))</f>
        <v>Y</v>
      </c>
      <c r="N70" s="131" t="str">
        <f t="shared" si="6"/>
        <v>Y</v>
      </c>
      <c r="O70" s="131" t="str">
        <f>IF($K70="N","",IF($A70="Compensatory Controls",IF(ISERROR(VLOOKUP($B70,'Compenstory Controls'!G:G,1,FALSE)),"N","Y"),IF(ISERROR(VLOOKUP($B70,'Required Controls'!S:S,1,FALSE)),"N","Y")))</f>
        <v>Y</v>
      </c>
    </row>
    <row r="71" spans="1:15" ht="72">
      <c r="A71" s="113" t="s">
        <v>306</v>
      </c>
      <c r="B71" s="114" t="s">
        <v>315</v>
      </c>
      <c r="C71" s="114" t="s">
        <v>316</v>
      </c>
      <c r="D71" s="113" t="s">
        <v>317</v>
      </c>
      <c r="E71" s="115" t="s">
        <v>645</v>
      </c>
      <c r="F71" s="115" t="s">
        <v>645</v>
      </c>
      <c r="G71" s="115" t="s">
        <v>645</v>
      </c>
      <c r="H71" s="115" t="s">
        <v>645</v>
      </c>
      <c r="I71" s="114"/>
      <c r="J71" s="131" t="str">
        <f t="shared" si="7"/>
        <v>N</v>
      </c>
      <c r="K71" s="131" t="str">
        <f>IF(ISERROR(VLOOKUP($D71,'General Controls'!$K:$K,1,FALSE)),"N","Y")</f>
        <v>Y</v>
      </c>
      <c r="L71" s="131" t="str">
        <f t="shared" si="5"/>
        <v>Y</v>
      </c>
      <c r="M71" s="131" t="str">
        <f>IF($H71="N","",IF(ISERROR(INDEX('Missing Control Risks'!A:R,MATCH($D71,'Missing Control Risks'!L:L,0),1)),"N","Y"))</f>
        <v>Y</v>
      </c>
      <c r="N71" s="131" t="str">
        <f t="shared" si="6"/>
        <v>Y</v>
      </c>
      <c r="O71" s="131" t="str">
        <f>IF($K71="N","",IF($A71="Compensatory Controls",IF(ISERROR(VLOOKUP($B71,'Compenstory Controls'!G:G,1,FALSE)),"N","Y"),IF(ISERROR(VLOOKUP($B71,'Required Controls'!S:S,1,FALSE)),"N","Y")))</f>
        <v>Y</v>
      </c>
    </row>
    <row r="72" spans="1:15" ht="72" hidden="1">
      <c r="A72" s="113" t="s">
        <v>306</v>
      </c>
      <c r="B72" s="114" t="s">
        <v>666</v>
      </c>
      <c r="C72" s="114" t="s">
        <v>667</v>
      </c>
      <c r="D72" s="113" t="s">
        <v>668</v>
      </c>
      <c r="E72" s="115" t="s">
        <v>645</v>
      </c>
      <c r="F72" s="115" t="s">
        <v>645</v>
      </c>
      <c r="G72" s="115" t="s">
        <v>647</v>
      </c>
      <c r="H72" s="115" t="s">
        <v>647</v>
      </c>
      <c r="I72" s="114" t="s">
        <v>669</v>
      </c>
      <c r="J72" s="131" t="str">
        <f t="shared" si="7"/>
        <v>N</v>
      </c>
      <c r="K72" s="131" t="str">
        <f>IF(ISERROR(VLOOKUP($D72,'General Controls'!$K:$K,1,FALSE)),"N","Y")</f>
        <v>N</v>
      </c>
      <c r="L72" s="131" t="str">
        <f t="shared" si="5"/>
        <v/>
      </c>
      <c r="M72" s="131" t="str">
        <f>IF($H72="N","",IF(ISERROR(INDEX('Missing Control Risks'!A:R,MATCH($D72,'Missing Control Risks'!L:L,0),1)),"N","Y"))</f>
        <v/>
      </c>
      <c r="N72" s="131" t="str">
        <f t="shared" si="6"/>
        <v/>
      </c>
      <c r="O72" s="131" t="str">
        <f>IF($K72="N","",IF($A72="Compensatory Controls",IF(ISERROR(VLOOKUP($B72,'Compenstory Controls'!G:G,1,FALSE)),"N","Y"),IF(ISERROR(VLOOKUP($B72,'Required Controls'!S:S,1,FALSE)),"N","Y")))</f>
        <v/>
      </c>
    </row>
    <row r="73" spans="1:15" ht="28.8">
      <c r="A73" s="113" t="s">
        <v>306</v>
      </c>
      <c r="B73" s="114" t="s">
        <v>318</v>
      </c>
      <c r="C73" s="114" t="s">
        <v>319</v>
      </c>
      <c r="D73" s="113" t="s">
        <v>321</v>
      </c>
      <c r="E73" s="115" t="s">
        <v>645</v>
      </c>
      <c r="F73" s="115" t="s">
        <v>645</v>
      </c>
      <c r="G73" s="115" t="s">
        <v>645</v>
      </c>
      <c r="H73" s="115" t="s">
        <v>645</v>
      </c>
      <c r="I73" s="114"/>
      <c r="J73" s="131" t="str">
        <f t="shared" si="7"/>
        <v>N</v>
      </c>
      <c r="K73" s="131" t="str">
        <f>IF(ISERROR(VLOOKUP($D73,'General Controls'!$K:$K,1,FALSE)),"N","Y")</f>
        <v>Y</v>
      </c>
      <c r="L73" s="131" t="str">
        <f t="shared" si="5"/>
        <v>Y</v>
      </c>
      <c r="M73" s="131" t="str">
        <f>IF($H73="N","",IF(ISERROR(INDEX('Missing Control Risks'!A:R,MATCH($D73,'Missing Control Risks'!L:L,0),1)),"N","Y"))</f>
        <v>Y</v>
      </c>
      <c r="N73" s="131" t="str">
        <f t="shared" si="6"/>
        <v>Y</v>
      </c>
      <c r="O73" s="131" t="str">
        <f>IF($K73="N","",IF($A73="Compensatory Controls",IF(ISERROR(VLOOKUP($B73,'Compenstory Controls'!G:G,1,FALSE)),"N","Y"),IF(ISERROR(VLOOKUP($B73,'Required Controls'!S:S,1,FALSE)),"N","Y")))</f>
        <v>Y</v>
      </c>
    </row>
    <row r="74" spans="1:15" ht="72">
      <c r="A74" s="113" t="s">
        <v>306</v>
      </c>
      <c r="B74" s="114" t="s">
        <v>322</v>
      </c>
      <c r="C74" s="114" t="s">
        <v>323</v>
      </c>
      <c r="D74" s="113" t="s">
        <v>325</v>
      </c>
      <c r="E74" s="115" t="s">
        <v>645</v>
      </c>
      <c r="F74" s="115" t="s">
        <v>645</v>
      </c>
      <c r="G74" s="115" t="s">
        <v>645</v>
      </c>
      <c r="H74" s="115" t="s">
        <v>645</v>
      </c>
      <c r="I74" s="114"/>
      <c r="J74" s="131" t="str">
        <f t="shared" si="7"/>
        <v>N</v>
      </c>
      <c r="K74" s="131" t="str">
        <f>IF(ISERROR(VLOOKUP($D74,'General Controls'!$K:$K,1,FALSE)),"N","Y")</f>
        <v>Y</v>
      </c>
      <c r="L74" s="131" t="str">
        <f t="shared" si="5"/>
        <v>Y</v>
      </c>
      <c r="M74" s="131" t="str">
        <f>IF($H74="N","",IF(ISERROR(INDEX('Missing Control Risks'!A:R,MATCH($D74,'Missing Control Risks'!L:L,0),1)),"N","Y"))</f>
        <v>Y</v>
      </c>
      <c r="N74" s="131" t="str">
        <f t="shared" si="6"/>
        <v>Y</v>
      </c>
      <c r="O74" s="131" t="str">
        <f>IF($K74="N","",IF($A74="Compensatory Controls",IF(ISERROR(VLOOKUP($B74,'Compenstory Controls'!G:G,1,FALSE)),"N","Y"),IF(ISERROR(VLOOKUP($B74,'Required Controls'!S:S,1,FALSE)),"N","Y")))</f>
        <v>Y</v>
      </c>
    </row>
    <row r="75" spans="1:15" ht="72">
      <c r="A75" s="113" t="s">
        <v>306</v>
      </c>
      <c r="B75" s="114" t="s">
        <v>326</v>
      </c>
      <c r="C75" s="114" t="s">
        <v>327</v>
      </c>
      <c r="D75" s="113" t="s">
        <v>328</v>
      </c>
      <c r="E75" s="115" t="s">
        <v>645</v>
      </c>
      <c r="F75" s="115" t="s">
        <v>645</v>
      </c>
      <c r="G75" s="115" t="s">
        <v>645</v>
      </c>
      <c r="H75" s="115" t="s">
        <v>645</v>
      </c>
      <c r="I75" s="114"/>
      <c r="J75" s="131" t="str">
        <f t="shared" si="7"/>
        <v>N</v>
      </c>
      <c r="K75" s="131" t="str">
        <f>IF(ISERROR(VLOOKUP($D75,'General Controls'!$K:$K,1,FALSE)),"N","Y")</f>
        <v>Y</v>
      </c>
      <c r="L75" s="131" t="str">
        <f t="shared" si="5"/>
        <v>Y</v>
      </c>
      <c r="M75" s="131" t="str">
        <f>IF($H75="N","",IF(ISERROR(INDEX('Missing Control Risks'!A:R,MATCH($D75,'Missing Control Risks'!L:L,0),1)),"N","Y"))</f>
        <v>Y</v>
      </c>
      <c r="N75" s="131" t="str">
        <f t="shared" si="6"/>
        <v>Y</v>
      </c>
      <c r="O75" s="131" t="str">
        <f>IF($K75="N","",IF($A75="Compensatory Controls",IF(ISERROR(VLOOKUP($B75,'Compenstory Controls'!G:G,1,FALSE)),"N","Y"),IF(ISERROR(VLOOKUP($B75,'Required Controls'!S:S,1,FALSE)),"N","Y")))</f>
        <v>Y</v>
      </c>
    </row>
    <row r="76" spans="1:15" ht="28.8">
      <c r="A76" s="113" t="s">
        <v>306</v>
      </c>
      <c r="B76" s="114" t="s">
        <v>329</v>
      </c>
      <c r="C76" s="114" t="s">
        <v>330</v>
      </c>
      <c r="D76" s="113" t="s">
        <v>331</v>
      </c>
      <c r="E76" s="115" t="s">
        <v>645</v>
      </c>
      <c r="F76" s="115" t="s">
        <v>645</v>
      </c>
      <c r="G76" s="115" t="s">
        <v>645</v>
      </c>
      <c r="H76" s="115" t="s">
        <v>645</v>
      </c>
      <c r="I76" s="114"/>
      <c r="J76" s="131" t="str">
        <f t="shared" si="7"/>
        <v>N</v>
      </c>
      <c r="K76" s="131" t="str">
        <f>IF(ISERROR(VLOOKUP($D76,'General Controls'!$K:$K,1,FALSE)),"N","Y")</f>
        <v>Y</v>
      </c>
      <c r="L76" s="131" t="str">
        <f t="shared" si="5"/>
        <v>Y</v>
      </c>
      <c r="M76" s="131" t="str">
        <f>IF($H76="N","",IF(ISERROR(INDEX('Missing Control Risks'!A:R,MATCH($D76,'Missing Control Risks'!L:L,0),1)),"N","Y"))</f>
        <v>Y</v>
      </c>
      <c r="N76" s="131" t="str">
        <f t="shared" si="6"/>
        <v>Y</v>
      </c>
      <c r="O76" s="131" t="str">
        <f>IF($K76="N","",IF($A76="Compensatory Controls",IF(ISERROR(VLOOKUP($B76,'Compenstory Controls'!G:G,1,FALSE)),"N","Y"),IF(ISERROR(VLOOKUP($B76,'Required Controls'!S:S,1,FALSE)),"N","Y")))</f>
        <v>Y</v>
      </c>
    </row>
    <row r="77" spans="1:15" ht="28.8">
      <c r="A77" s="113" t="s">
        <v>306</v>
      </c>
      <c r="B77" s="114" t="s">
        <v>332</v>
      </c>
      <c r="C77" s="114" t="s">
        <v>333</v>
      </c>
      <c r="D77" s="113" t="s">
        <v>334</v>
      </c>
      <c r="E77" s="115" t="s">
        <v>645</v>
      </c>
      <c r="F77" s="115" t="s">
        <v>645</v>
      </c>
      <c r="G77" s="115" t="s">
        <v>645</v>
      </c>
      <c r="H77" s="115" t="s">
        <v>645</v>
      </c>
      <c r="I77" s="114"/>
      <c r="J77" s="131" t="str">
        <f t="shared" si="7"/>
        <v>N</v>
      </c>
      <c r="K77" s="131" t="str">
        <f>IF(ISERROR(VLOOKUP($D77,'General Controls'!$K:$K,1,FALSE)),"N","Y")</f>
        <v>Y</v>
      </c>
      <c r="L77" s="131" t="str">
        <f t="shared" si="5"/>
        <v>Y</v>
      </c>
      <c r="M77" s="131" t="str">
        <f>IF($H77="N","",IF(ISERROR(INDEX('Missing Control Risks'!A:R,MATCH($D77,'Missing Control Risks'!L:L,0),1)),"N","Y"))</f>
        <v>Y</v>
      </c>
      <c r="N77" s="131" t="str">
        <f t="shared" si="6"/>
        <v>Y</v>
      </c>
      <c r="O77" s="131" t="str">
        <f>IF($K77="N","",IF($A77="Compensatory Controls",IF(ISERROR(VLOOKUP($B77,'Compenstory Controls'!G:G,1,FALSE)),"N","Y"),IF(ISERROR(VLOOKUP($B77,'Required Controls'!S:S,1,FALSE)),"N","Y")))</f>
        <v>Y</v>
      </c>
    </row>
    <row r="78" spans="1:15" ht="72">
      <c r="A78" s="113" t="s">
        <v>306</v>
      </c>
      <c r="B78" s="114" t="s">
        <v>311</v>
      </c>
      <c r="C78" s="114" t="s">
        <v>312</v>
      </c>
      <c r="D78" s="113" t="s">
        <v>314</v>
      </c>
      <c r="E78" s="115" t="s">
        <v>647</v>
      </c>
      <c r="F78" s="115" t="s">
        <v>647</v>
      </c>
      <c r="G78" s="115" t="s">
        <v>645</v>
      </c>
      <c r="H78" s="115" t="s">
        <v>645</v>
      </c>
      <c r="I78" s="114" t="s">
        <v>656</v>
      </c>
      <c r="J78" s="131" t="str">
        <f t="shared" si="7"/>
        <v>N</v>
      </c>
      <c r="K78" s="131" t="str">
        <f>IF(ISERROR(VLOOKUP($D78,'General Controls'!$K:$K,1,FALSE)),"N","Y")</f>
        <v>Y</v>
      </c>
      <c r="L78" s="131" t="str">
        <f t="shared" si="5"/>
        <v>Y</v>
      </c>
      <c r="M78" s="131" t="str">
        <f>IF($H78="N","",IF(ISERROR(INDEX('Missing Control Risks'!A:R,MATCH($D78,'Missing Control Risks'!L:L,0),1)),"N","Y"))</f>
        <v>Y</v>
      </c>
      <c r="N78" s="131" t="str">
        <f t="shared" si="6"/>
        <v>Y</v>
      </c>
      <c r="O78" s="131" t="str">
        <f>IF($K78="N","",IF($A78="Compensatory Controls",IF(ISERROR(VLOOKUP($B78,'Compenstory Controls'!G:G,1,FALSE)),"N","Y"),IF(ISERROR(VLOOKUP($B78,'Required Controls'!S:S,1,FALSE)),"N","Y")))</f>
        <v>Y</v>
      </c>
    </row>
    <row r="79" spans="1:15" ht="43.2">
      <c r="A79" s="113" t="s">
        <v>125</v>
      </c>
      <c r="B79" s="114" t="s">
        <v>171</v>
      </c>
      <c r="C79" s="114" t="s">
        <v>172</v>
      </c>
      <c r="D79" s="16" t="s">
        <v>173</v>
      </c>
      <c r="E79" s="115" t="s">
        <v>647</v>
      </c>
      <c r="F79" s="115" t="s">
        <v>647</v>
      </c>
      <c r="G79" s="115" t="s">
        <v>647</v>
      </c>
      <c r="H79" s="115" t="s">
        <v>645</v>
      </c>
      <c r="I79" s="114" t="s">
        <v>648</v>
      </c>
      <c r="J79" s="131" t="str">
        <f t="shared" si="7"/>
        <v>N</v>
      </c>
      <c r="K79" s="131" t="str">
        <f>IF(ISERROR(VLOOKUP($D79,'General Controls'!$K:$K,1,FALSE)),"N","Y")</f>
        <v>Y</v>
      </c>
      <c r="L79" s="131" t="str">
        <f t="shared" si="5"/>
        <v>Y</v>
      </c>
      <c r="M79" s="131" t="str">
        <f>IF($H79="N","",IF(ISERROR(INDEX('Missing Control Risks'!A:R,MATCH($D79,'Missing Control Risks'!L:L,0),1)),"N","Y"))</f>
        <v>Y</v>
      </c>
      <c r="N79" s="131" t="str">
        <f t="shared" si="6"/>
        <v>Y</v>
      </c>
      <c r="O79" s="131" t="str">
        <f>IF($K79="N","",IF($A79="Compensatory Controls",IF(ISERROR(VLOOKUP($B79,'Compenstory Controls'!G:G,1,FALSE)),"N","Y"),IF(ISERROR(VLOOKUP($B79,'Required Controls'!S:S,1,FALSE)),"N","Y")))</f>
        <v>Y</v>
      </c>
    </row>
  </sheetData>
  <autoFilter ref="A1:O79" xr:uid="{CF20911E-7FBF-4D31-9217-7B6FD9D8AAFB}">
    <filterColumn colId="12">
      <customFilters>
        <customFilter operator="notEqual" val=" "/>
      </customFilters>
    </filterColumn>
  </autoFilter>
  <phoneticPr fontId="32" type="noConversion"/>
  <conditionalFormatting sqref="D79">
    <cfRule type="expression" dxfId="13" priority="12">
      <formula>AND($E79,$F79="No")</formula>
    </cfRule>
    <cfRule type="expression" dxfId="12" priority="13">
      <formula>AND($E79,$F79="Partial")</formula>
    </cfRule>
    <cfRule type="expression" dxfId="11" priority="14">
      <formula>AND($E79,$F79="Yes")</formula>
    </cfRule>
    <cfRule type="expression" dxfId="10" priority="15">
      <formula>NOT($E79)</formula>
    </cfRule>
    <cfRule type="expression" dxfId="9" priority="16">
      <formula>AND($E79,$F79="No")</formula>
    </cfRule>
    <cfRule type="expression" dxfId="8" priority="17">
      <formula>AND($E79,$F79="Partial")</formula>
    </cfRule>
    <cfRule type="expression" dxfId="7" priority="18">
      <formula>AND($E79,$F79="Yes")</formula>
    </cfRule>
  </conditionalFormatting>
  <conditionalFormatting sqref="J1">
    <cfRule type="expression" dxfId="6" priority="7">
      <formula>$R$2&gt;0</formula>
    </cfRule>
  </conditionalFormatting>
  <conditionalFormatting sqref="K1">
    <cfRule type="expression" dxfId="5" priority="6">
      <formula>$R$3&gt;0</formula>
    </cfRule>
  </conditionalFormatting>
  <conditionalFormatting sqref="L1">
    <cfRule type="expression" dxfId="4" priority="3">
      <formula>$R$4&gt;0</formula>
    </cfRule>
  </conditionalFormatting>
  <conditionalFormatting sqref="M1">
    <cfRule type="expression" dxfId="3" priority="5">
      <formula>$R$5&gt;0</formula>
    </cfRule>
  </conditionalFormatting>
  <conditionalFormatting sqref="N1">
    <cfRule type="expression" dxfId="2" priority="4">
      <formula>$R$6&gt;0</formula>
    </cfRule>
  </conditionalFormatting>
  <conditionalFormatting sqref="O1">
    <cfRule type="expression" dxfId="1" priority="1">
      <formula>$R$7&gt;0</formula>
    </cfRule>
    <cfRule type="expression" dxfId="0" priority="2">
      <formula>$R$4&gt;0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DBA23-DD11-4C1E-8E3D-99FF63BDFF07}">
  <sheetPr codeName="Sheet9"/>
  <dimension ref="A1:B12"/>
  <sheetViews>
    <sheetView workbookViewId="0">
      <selection activeCell="B8" sqref="B8"/>
    </sheetView>
  </sheetViews>
  <sheetFormatPr defaultRowHeight="14.4"/>
  <cols>
    <col min="1" max="1" width="13.33203125" style="18" bestFit="1" customWidth="1"/>
    <col min="2" max="2" width="57.109375" customWidth="1"/>
  </cols>
  <sheetData>
    <row r="1" spans="1:2">
      <c r="A1" s="18" t="s">
        <v>670</v>
      </c>
      <c r="B1" s="77" t="s">
        <v>671</v>
      </c>
    </row>
    <row r="2" spans="1:2">
      <c r="A2" s="18" t="s">
        <v>672</v>
      </c>
      <c r="B2" s="68">
        <v>45498</v>
      </c>
    </row>
    <row r="3" spans="1:2">
      <c r="A3" s="18" t="s">
        <v>673</v>
      </c>
      <c r="B3" t="s">
        <v>674</v>
      </c>
    </row>
    <row r="4" spans="1:2">
      <c r="A4" s="18" t="s">
        <v>675</v>
      </c>
      <c r="B4" t="s">
        <v>674</v>
      </c>
    </row>
    <row r="6" spans="1:2">
      <c r="A6" s="18" t="s">
        <v>637</v>
      </c>
    </row>
    <row r="7" spans="1:2" ht="57.6">
      <c r="A7" s="18" t="s">
        <v>671</v>
      </c>
      <c r="B7" s="92" t="s">
        <v>676</v>
      </c>
    </row>
    <row r="8" spans="1:2" ht="158.4">
      <c r="A8" s="138" t="s">
        <v>677</v>
      </c>
      <c r="B8" s="92" t="s">
        <v>678</v>
      </c>
    </row>
    <row r="9" spans="1:2" ht="144">
      <c r="A9" s="81" t="s">
        <v>679</v>
      </c>
      <c r="B9" s="17" t="s">
        <v>680</v>
      </c>
    </row>
    <row r="10" spans="1:2" ht="100.8">
      <c r="A10" s="81" t="s">
        <v>681</v>
      </c>
      <c r="B10" s="92" t="s">
        <v>682</v>
      </c>
    </row>
    <row r="11" spans="1:2" ht="144">
      <c r="A11" s="81" t="s">
        <v>683</v>
      </c>
      <c r="B11" s="82" t="s">
        <v>684</v>
      </c>
    </row>
    <row r="12" spans="1:2" ht="86.4">
      <c r="A12" s="80" t="s">
        <v>685</v>
      </c>
      <c r="B12" s="79" t="s">
        <v>686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4e71ff4-1224-45f7-95cb-fc0f63d1503a">
      <UserInfo>
        <DisplayName>Najmeh Rafat</DisplayName>
        <AccountId>32</AccountId>
        <AccountType/>
      </UserInfo>
      <UserInfo>
        <DisplayName>Lyndal Ross</DisplayName>
        <AccountId>36</AccountId>
        <AccountType/>
      </UserInfo>
      <UserInfo>
        <DisplayName>Vamsi Kancharla</DisplayName>
        <AccountId>37</AccountId>
        <AccountType/>
      </UserInfo>
      <UserInfo>
        <DisplayName>Bill Doan</DisplayName>
        <AccountId>38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F42857BF384B4B95453A9337E93017" ma:contentTypeVersion="6" ma:contentTypeDescription="Create a new document." ma:contentTypeScope="" ma:versionID="f423ea81911432b4487ffe7c9ea4874f">
  <xsd:schema xmlns:xsd="http://www.w3.org/2001/XMLSchema" xmlns:xs="http://www.w3.org/2001/XMLSchema" xmlns:p="http://schemas.microsoft.com/office/2006/metadata/properties" xmlns:ns2="c26faa65-94c5-4c1f-a87f-e9d94ad1d298" xmlns:ns3="b4e71ff4-1224-45f7-95cb-fc0f63d1503a" targetNamespace="http://schemas.microsoft.com/office/2006/metadata/properties" ma:root="true" ma:fieldsID="24c5d3d34f953daba19000f53e630d28" ns2:_="" ns3:_="">
    <xsd:import namespace="c26faa65-94c5-4c1f-a87f-e9d94ad1d298"/>
    <xsd:import namespace="b4e71ff4-1224-45f7-95cb-fc0f63d150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faa65-94c5-4c1f-a87f-e9d94ad1d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e71ff4-1224-45f7-95cb-fc0f63d150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791FDA-201C-488F-A230-2BA27A1B496E}">
  <ds:schemaRefs>
    <ds:schemaRef ds:uri="http://schemas.microsoft.com/sharepoint/v3/contenttype/forms"/>
  </ds:schemaRefs>
</ds:datastoreItem>
</file>

<file path=customXml/itemProps2.xml><?xml version="1.0" encoding="utf-8"?>
<ds:datastoreItem xmlns:ds="http://schemas.openxmlformats.org/officeDocument/2006/customXml" ds:itemID="{2FE54DDA-B1DB-4A09-A5DE-F12CEF2EC57F}">
  <ds:schemaRefs>
    <ds:schemaRef ds:uri="http://www.w3.org/XML/1998/namespace"/>
    <ds:schemaRef ds:uri="http://schemas.microsoft.com/office/infopath/2007/PartnerControls"/>
    <ds:schemaRef ds:uri="http://purl.org/dc/elements/1.1/"/>
    <ds:schemaRef ds:uri="http://schemas.microsoft.com/office/2006/documentManagement/types"/>
    <ds:schemaRef ds:uri="b4e71ff4-1224-45f7-95cb-fc0f63d1503a"/>
    <ds:schemaRef ds:uri="http://purl.org/dc/dcmitype/"/>
    <ds:schemaRef ds:uri="c26faa65-94c5-4c1f-a87f-e9d94ad1d298"/>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61BD7D5-2314-4DD8-9C16-A2E917908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faa65-94c5-4c1f-a87f-e9d94ad1d298"/>
    <ds:schemaRef ds:uri="b4e71ff4-1224-45f7-95cb-fc0f63d15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64</vt:i4>
      </vt:variant>
    </vt:vector>
  </HeadingPairs>
  <TitlesOfParts>
    <vt:vector size="79" baseType="lpstr">
      <vt:lpstr>Instructions</vt:lpstr>
      <vt:lpstr>Application Information</vt:lpstr>
      <vt:lpstr>General Controls</vt:lpstr>
      <vt:lpstr>General Risks</vt:lpstr>
      <vt:lpstr>Additional risks</vt:lpstr>
      <vt:lpstr>Application Risk Rating</vt:lpstr>
      <vt:lpstr>Risk Remediation Plan</vt:lpstr>
      <vt:lpstr>Risk Matrix</vt:lpstr>
      <vt:lpstr>Missing Control Risks</vt:lpstr>
      <vt:lpstr>Required Controls</vt:lpstr>
      <vt:lpstr>Parameters</vt:lpstr>
      <vt:lpstr>Compenstory Controls</vt:lpstr>
      <vt:lpstr>Application Tier</vt:lpstr>
      <vt:lpstr>Control History</vt:lpstr>
      <vt:lpstr>Meta Data</vt:lpstr>
      <vt:lpstr>Application_Risk_Rating</vt:lpstr>
      <vt:lpstr>ApplicationTier</vt:lpstr>
      <vt:lpstr>AssessedControls</vt:lpstr>
      <vt:lpstr>Availability</vt:lpstr>
      <vt:lpstr>AvailabilityImpactRating</vt:lpstr>
      <vt:lpstr>AvailabilityImpactScore</vt:lpstr>
      <vt:lpstr>AvailabilityRatings</vt:lpstr>
      <vt:lpstr>ClientType</vt:lpstr>
      <vt:lpstr>ClientTypes</vt:lpstr>
      <vt:lpstr>Confidentiality</vt:lpstr>
      <vt:lpstr>ConfidentialityImpactRating</vt:lpstr>
      <vt:lpstr>ConfidentialityImpactScore</vt:lpstr>
      <vt:lpstr>ConfidentialityImpactScores</vt:lpstr>
      <vt:lpstr>ConfidentialityRatings</vt:lpstr>
      <vt:lpstr>ControlHeader</vt:lpstr>
      <vt:lpstr>ControlInPlace</vt:lpstr>
      <vt:lpstr>ControlName</vt:lpstr>
      <vt:lpstr>ControlPriority</vt:lpstr>
      <vt:lpstr>ControlTable</vt:lpstr>
      <vt:lpstr>ControlTableID</vt:lpstr>
      <vt:lpstr>FinancialLossRatings</vt:lpstr>
      <vt:lpstr>HasIntegrations</vt:lpstr>
      <vt:lpstr>HighestConfidentiality</vt:lpstr>
      <vt:lpstr>Hosting</vt:lpstr>
      <vt:lpstr>Impact</vt:lpstr>
      <vt:lpstr>Impact_Risk_Column</vt:lpstr>
      <vt:lpstr>ImpactRating</vt:lpstr>
      <vt:lpstr>ImpactRatings</vt:lpstr>
      <vt:lpstr>ImpactScores</vt:lpstr>
      <vt:lpstr>ImpactTypeRatings</vt:lpstr>
      <vt:lpstr>ImpactTypes</vt:lpstr>
      <vt:lpstr>ImplementationCost</vt:lpstr>
      <vt:lpstr>Integrity</vt:lpstr>
      <vt:lpstr>IntegrityImpactRating</vt:lpstr>
      <vt:lpstr>IntegrityImpactScore</vt:lpstr>
      <vt:lpstr>IntegrityRating</vt:lpstr>
      <vt:lpstr>IntegrityRatings</vt:lpstr>
      <vt:lpstr>Likelihood</vt:lpstr>
      <vt:lpstr>LikelihoodValues</vt:lpstr>
      <vt:lpstr>Management</vt:lpstr>
      <vt:lpstr>MaxCIImpact</vt:lpstr>
      <vt:lpstr>MaxImpactScore</vt:lpstr>
      <vt:lpstr>MaxImpactScore2RiskRating</vt:lpstr>
      <vt:lpstr>MissingConfidentialityControls</vt:lpstr>
      <vt:lpstr>MissingControlHeader</vt:lpstr>
      <vt:lpstr>MissingControlID</vt:lpstr>
      <vt:lpstr>MissingControlRisks</vt:lpstr>
      <vt:lpstr>MissingRiskID</vt:lpstr>
      <vt:lpstr>NumRecords</vt:lpstr>
      <vt:lpstr>NumUsers</vt:lpstr>
      <vt:lpstr>RecordsRatings</vt:lpstr>
      <vt:lpstr>RequiredCompensatoryControls</vt:lpstr>
      <vt:lpstr>RequiredControls</vt:lpstr>
      <vt:lpstr>Risk_Rows</vt:lpstr>
      <vt:lpstr>RiskManaged</vt:lpstr>
      <vt:lpstr>RiskPriorityRows</vt:lpstr>
      <vt:lpstr>RiskRatings</vt:lpstr>
      <vt:lpstr>RPORatings</vt:lpstr>
      <vt:lpstr>RTORatings</vt:lpstr>
      <vt:lpstr>Software</vt:lpstr>
      <vt:lpstr>SoftwareType</vt:lpstr>
      <vt:lpstr>Status</vt:lpstr>
      <vt:lpstr>TierImpactRatings</vt:lpstr>
      <vt:lpstr>TierRatings</vt:lpstr>
    </vt:vector>
  </TitlesOfParts>
  <Manager/>
  <Company>The University of Queensland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Blum</dc:creator>
  <cp:keywords/>
  <dc:description/>
  <cp:lastModifiedBy>Carolyn Riemann</cp:lastModifiedBy>
  <cp:revision/>
  <dcterms:created xsi:type="dcterms:W3CDTF">2020-10-30T03:37:45Z</dcterms:created>
  <dcterms:modified xsi:type="dcterms:W3CDTF">2024-08-22T05:50:02Z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0x0101002EF42857BF384B4B95453A9337E93017</vt:lpwstr>
  </property>
  <property fmtid="{D5CDD505-2E9C-101B-9397-08002B2CF9AE}" pid="3" name="MSIP_Label_0f488380-630a-4f55-a077-a19445e3f360_Enabled">
    <vt:lpwstr>true</vt:lpwstr>
  </property>
  <property fmtid="{D5CDD505-2E9C-101B-9397-08002B2CF9AE}" pid="4" name="MSIP_Label_0f488380-630a-4f55-a077-a19445e3f360_SetDate">
    <vt:lpwstr>2021-07-09T05:50:58Z</vt:lpwstr>
  </property>
  <property fmtid="{D5CDD505-2E9C-101B-9397-08002B2CF9AE}" pid="5" name="MSIP_Label_0f488380-630a-4f55-a077-a19445e3f360_Method">
    <vt:lpwstr>Standard</vt:lpwstr>
  </property>
  <property fmtid="{D5CDD505-2E9C-101B-9397-08002B2CF9AE}" pid="6" name="MSIP_Label_0f488380-630a-4f55-a077-a19445e3f360_Name">
    <vt:lpwstr>OFFICIAL - INTERNAL</vt:lpwstr>
  </property>
  <property fmtid="{D5CDD505-2E9C-101B-9397-08002B2CF9AE}" pid="7" name="MSIP_Label_0f488380-630a-4f55-a077-a19445e3f360_SiteId">
    <vt:lpwstr>b6e377cf-9db3-46cb-91a2-fad9605bb15c</vt:lpwstr>
  </property>
  <property fmtid="{D5CDD505-2E9C-101B-9397-08002B2CF9AE}" pid="8" name="MSIP_Label_0f488380-630a-4f55-a077-a19445e3f360_ActionId">
    <vt:lpwstr>58e78e22-a51a-4348-a209-b3d183abce32</vt:lpwstr>
  </property>
  <property fmtid="{D5CDD505-2E9C-101B-9397-08002B2CF9AE}" pid="9" name="MSIP_Label_0f488380-630a-4f55-a077-a19445e3f360_ContentBits">
    <vt:lpwstr>0</vt:lpwstr>
  </property>
</Properties>
</file>